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 activeTab="8"/>
  </bookViews>
  <sheets>
    <sheet name="COPRAS" sheetId="1" r:id="rId1"/>
    <sheet name="PROMETHEE" sheetId="2" state="hidden" r:id="rId2"/>
    <sheet name="Hoja3" sheetId="3" state="hidden" r:id="rId3"/>
    <sheet name="Entropy" sheetId="4" state="hidden" r:id="rId4"/>
    <sheet name="TOPSIS tesis" sheetId="7" state="hidden" r:id="rId5"/>
    <sheet name="TOPSIS" sheetId="5" state="hidden" r:id="rId6"/>
    <sheet name="VIKOR final" sheetId="9" r:id="rId7"/>
    <sheet name="VIKOR" sheetId="6" state="hidden" r:id="rId8"/>
    <sheet name="topsy " sheetId="8" r:id="rId9"/>
  </sheets>
  <calcPr calcId="144525"/>
</workbook>
</file>

<file path=xl/calcChain.xml><?xml version="1.0" encoding="utf-8"?>
<calcChain xmlns="http://schemas.openxmlformats.org/spreadsheetml/2006/main">
  <c r="D12" i="9" l="1"/>
  <c r="H23" i="9"/>
  <c r="H12" i="9"/>
  <c r="I20" i="9"/>
  <c r="J20" i="9"/>
  <c r="K20" i="9"/>
  <c r="X4" i="6"/>
  <c r="X3" i="6"/>
  <c r="L3" i="6"/>
  <c r="C13" i="9"/>
  <c r="C12" i="9"/>
  <c r="G20" i="9" s="1"/>
  <c r="F10" i="9"/>
  <c r="E10" i="9"/>
  <c r="D10" i="9"/>
  <c r="C10" i="9"/>
  <c r="C11" i="9" s="1"/>
  <c r="H13" i="9"/>
  <c r="G13" i="9"/>
  <c r="F13" i="9"/>
  <c r="E13" i="9"/>
  <c r="D13" i="9"/>
  <c r="H20" i="9" s="1"/>
  <c r="E29" i="9"/>
  <c r="G12" i="9"/>
  <c r="F12" i="9"/>
  <c r="E12" i="9"/>
  <c r="H10" i="9"/>
  <c r="H11" i="9" s="1"/>
  <c r="G10" i="9"/>
  <c r="G11" i="9" s="1"/>
  <c r="F11" i="9"/>
  <c r="E11" i="9"/>
  <c r="D11" i="9"/>
  <c r="H1" i="9"/>
  <c r="G1" i="9"/>
  <c r="F1" i="9"/>
  <c r="E1" i="9"/>
  <c r="D1" i="9"/>
  <c r="C1" i="9"/>
  <c r="V30" i="5"/>
  <c r="V31" i="5"/>
  <c r="V32" i="5"/>
  <c r="V29" i="5"/>
  <c r="W18" i="5"/>
  <c r="Q16" i="5"/>
  <c r="R16" i="5"/>
  <c r="Q17" i="5"/>
  <c r="K14" i="5"/>
  <c r="K13" i="5"/>
  <c r="L7" i="8"/>
  <c r="M7" i="8"/>
  <c r="N7" i="8"/>
  <c r="O7" i="8"/>
  <c r="P7" i="8"/>
  <c r="L8" i="8"/>
  <c r="M8" i="8"/>
  <c r="N8" i="8"/>
  <c r="O8" i="8"/>
  <c r="P8" i="8"/>
  <c r="L9" i="8"/>
  <c r="M9" i="8"/>
  <c r="N9" i="8"/>
  <c r="O9" i="8"/>
  <c r="P9" i="8"/>
  <c r="L10" i="8"/>
  <c r="M10" i="8"/>
  <c r="N10" i="8"/>
  <c r="O10" i="8"/>
  <c r="P10" i="8"/>
  <c r="L11" i="8"/>
  <c r="M11" i="8"/>
  <c r="N11" i="8"/>
  <c r="O11" i="8"/>
  <c r="P11" i="8"/>
  <c r="L12" i="8"/>
  <c r="M12" i="8"/>
  <c r="N12" i="8"/>
  <c r="O12" i="8"/>
  <c r="P12" i="8"/>
  <c r="K7" i="8"/>
  <c r="K8" i="8"/>
  <c r="K9" i="8"/>
  <c r="K10" i="8"/>
  <c r="K11" i="8"/>
  <c r="K12" i="8"/>
  <c r="G14" i="7"/>
  <c r="F14" i="7"/>
  <c r="E14" i="7"/>
  <c r="D14" i="7"/>
  <c r="C14" i="7"/>
  <c r="D13" i="7"/>
  <c r="E13" i="7"/>
  <c r="F13" i="7"/>
  <c r="G13" i="7"/>
  <c r="G19" i="7" s="1"/>
  <c r="H13" i="7"/>
  <c r="H14" i="7" s="1"/>
  <c r="I13" i="7"/>
  <c r="I14" i="7" s="1"/>
  <c r="I22" i="7" s="1"/>
  <c r="D19" i="7"/>
  <c r="C13" i="7"/>
  <c r="F19" i="7"/>
  <c r="C20" i="7"/>
  <c r="H16" i="5"/>
  <c r="G16" i="5"/>
  <c r="F16" i="5"/>
  <c r="E16" i="5"/>
  <c r="D16" i="5"/>
  <c r="C16" i="5"/>
  <c r="E19" i="7"/>
  <c r="H16" i="7"/>
  <c r="G16" i="7"/>
  <c r="F16" i="7"/>
  <c r="E16" i="7"/>
  <c r="D16" i="7"/>
  <c r="C16" i="7"/>
  <c r="C14" i="5"/>
  <c r="C13" i="5"/>
  <c r="D37" i="1"/>
  <c r="D35" i="1"/>
  <c r="D34" i="1"/>
  <c r="D33" i="1"/>
  <c r="C38" i="1"/>
  <c r="D32" i="1"/>
  <c r="E27" i="1"/>
  <c r="D29" i="1"/>
  <c r="C29" i="1"/>
  <c r="B29" i="1"/>
  <c r="I14" i="1"/>
  <c r="G14" i="1"/>
  <c r="C14" i="1"/>
  <c r="B14" i="1"/>
  <c r="O14" i="1"/>
  <c r="N14" i="1"/>
  <c r="M14" i="1"/>
  <c r="L14" i="1"/>
  <c r="D20" i="9" l="1"/>
  <c r="D26" i="9" s="1"/>
  <c r="P20" i="9"/>
  <c r="D21" i="9"/>
  <c r="D22" i="9"/>
  <c r="D23" i="9"/>
  <c r="D24" i="9"/>
  <c r="D25" i="9"/>
  <c r="G21" i="9"/>
  <c r="G22" i="9"/>
  <c r="J21" i="9"/>
  <c r="K24" i="9"/>
  <c r="K21" i="9"/>
  <c r="J25" i="9"/>
  <c r="K23" i="9"/>
  <c r="J24" i="9"/>
  <c r="H22" i="9"/>
  <c r="I25" i="9"/>
  <c r="I23" i="9"/>
  <c r="I22" i="9"/>
  <c r="J23" i="9"/>
  <c r="K25" i="9"/>
  <c r="I21" i="9"/>
  <c r="H21" i="9"/>
  <c r="J22" i="9"/>
  <c r="L24" i="9"/>
  <c r="H24" i="9"/>
  <c r="K22" i="9"/>
  <c r="L22" i="9"/>
  <c r="L25" i="9"/>
  <c r="G24" i="9"/>
  <c r="L21" i="9"/>
  <c r="I24" i="9"/>
  <c r="H25" i="9"/>
  <c r="L23" i="9"/>
  <c r="G23" i="9"/>
  <c r="L20" i="9"/>
  <c r="G25" i="9"/>
  <c r="W10" i="8"/>
  <c r="AK10" i="8" s="1"/>
  <c r="T12" i="8"/>
  <c r="AH12" i="8" s="1"/>
  <c r="S8" i="8"/>
  <c r="AG8" i="8" s="1"/>
  <c r="U10" i="8"/>
  <c r="AI10" i="8" s="1"/>
  <c r="V7" i="8"/>
  <c r="AJ7" i="8" s="1"/>
  <c r="W8" i="8"/>
  <c r="AK8" i="8" s="1"/>
  <c r="U12" i="8"/>
  <c r="AI12" i="8" s="1"/>
  <c r="R7" i="8"/>
  <c r="AF7" i="8" s="1"/>
  <c r="U11" i="8"/>
  <c r="AI11" i="8" s="1"/>
  <c r="T8" i="8"/>
  <c r="AH8" i="8" s="1"/>
  <c r="W11" i="8"/>
  <c r="AK11" i="8" s="1"/>
  <c r="W9" i="8"/>
  <c r="AK9" i="8" s="1"/>
  <c r="T11" i="8"/>
  <c r="AH11" i="8" s="1"/>
  <c r="U9" i="8"/>
  <c r="AI9" i="8" s="1"/>
  <c r="S12" i="8"/>
  <c r="AG12" i="8" s="1"/>
  <c r="U8" i="8"/>
  <c r="AI8" i="8" s="1"/>
  <c r="S10" i="8"/>
  <c r="AG10" i="8" s="1"/>
  <c r="W7" i="8"/>
  <c r="AK7" i="8" s="1"/>
  <c r="S9" i="8"/>
  <c r="AG9" i="8" s="1"/>
  <c r="U7" i="8"/>
  <c r="AI7" i="8" s="1"/>
  <c r="W12" i="8"/>
  <c r="T7" i="8"/>
  <c r="AH7" i="8" s="1"/>
  <c r="S7" i="8"/>
  <c r="AG7" i="8" s="1"/>
  <c r="T10" i="8"/>
  <c r="AH10" i="8" s="1"/>
  <c r="S11" i="8"/>
  <c r="AG11" i="8" s="1"/>
  <c r="T9" i="8"/>
  <c r="AH9" i="8" s="1"/>
  <c r="R9" i="8"/>
  <c r="AF9" i="8" s="1"/>
  <c r="R8" i="8"/>
  <c r="AF8" i="8" s="1"/>
  <c r="R12" i="8"/>
  <c r="AF12" i="8" s="1"/>
  <c r="R11" i="8"/>
  <c r="AF11" i="8" s="1"/>
  <c r="R10" i="8"/>
  <c r="AF10" i="8" s="1"/>
  <c r="AK12" i="8"/>
  <c r="V12" i="8"/>
  <c r="AJ12" i="8" s="1"/>
  <c r="V8" i="8"/>
  <c r="AJ8" i="8" s="1"/>
  <c r="V9" i="8"/>
  <c r="AJ9" i="8" s="1"/>
  <c r="V10" i="8"/>
  <c r="AJ10" i="8" s="1"/>
  <c r="V11" i="8"/>
  <c r="AJ11" i="8" s="1"/>
  <c r="H19" i="7"/>
  <c r="R3" i="7" s="1"/>
  <c r="H20" i="7"/>
  <c r="R4" i="7" s="1"/>
  <c r="I19" i="7"/>
  <c r="I24" i="7"/>
  <c r="I23" i="7"/>
  <c r="I21" i="7"/>
  <c r="I20" i="7"/>
  <c r="C19" i="7"/>
  <c r="M3" i="7" s="1"/>
  <c r="E24" i="7"/>
  <c r="O8" i="7" s="1"/>
  <c r="E26" i="7"/>
  <c r="O10" i="7" s="1"/>
  <c r="E23" i="7"/>
  <c r="O7" i="7" s="1"/>
  <c r="E22" i="7"/>
  <c r="O6" i="7" s="1"/>
  <c r="E27" i="7"/>
  <c r="O11" i="7" s="1"/>
  <c r="E21" i="7"/>
  <c r="O5" i="7" s="1"/>
  <c r="E20" i="7"/>
  <c r="O4" i="7" s="1"/>
  <c r="E25" i="7"/>
  <c r="O9" i="7" s="1"/>
  <c r="O3" i="7"/>
  <c r="F26" i="7"/>
  <c r="P10" i="7" s="1"/>
  <c r="F23" i="7"/>
  <c r="P7" i="7" s="1"/>
  <c r="F22" i="7"/>
  <c r="P6" i="7" s="1"/>
  <c r="F27" i="7"/>
  <c r="P11" i="7" s="1"/>
  <c r="F21" i="7"/>
  <c r="P5" i="7" s="1"/>
  <c r="F20" i="7"/>
  <c r="P4" i="7" s="1"/>
  <c r="P3" i="7"/>
  <c r="F25" i="7"/>
  <c r="P9" i="7" s="1"/>
  <c r="F24" i="7"/>
  <c r="P8" i="7" s="1"/>
  <c r="G22" i="7"/>
  <c r="Q6" i="7" s="1"/>
  <c r="G27" i="7"/>
  <c r="Q11" i="7" s="1"/>
  <c r="G21" i="7"/>
  <c r="Q5" i="7" s="1"/>
  <c r="G25" i="7"/>
  <c r="Q9" i="7" s="1"/>
  <c r="G20" i="7"/>
  <c r="Q4" i="7" s="1"/>
  <c r="Q3" i="7"/>
  <c r="G24" i="7"/>
  <c r="Q8" i="7" s="1"/>
  <c r="G26" i="7"/>
  <c r="Q10" i="7" s="1"/>
  <c r="G23" i="7"/>
  <c r="Q7" i="7" s="1"/>
  <c r="H27" i="7"/>
  <c r="R11" i="7" s="1"/>
  <c r="H21" i="7"/>
  <c r="R5" i="7" s="1"/>
  <c r="H25" i="7"/>
  <c r="R9" i="7" s="1"/>
  <c r="H26" i="7"/>
  <c r="R10" i="7" s="1"/>
  <c r="H23" i="7"/>
  <c r="R7" i="7" s="1"/>
  <c r="H22" i="7"/>
  <c r="R6" i="7" s="1"/>
  <c r="H24" i="7"/>
  <c r="R8" i="7" s="1"/>
  <c r="C25" i="7"/>
  <c r="M9" i="7" s="1"/>
  <c r="C21" i="7"/>
  <c r="M5" i="7" s="1"/>
  <c r="C24" i="7"/>
  <c r="M8" i="7" s="1"/>
  <c r="C26" i="7"/>
  <c r="M10" i="7" s="1"/>
  <c r="C23" i="7"/>
  <c r="M7" i="7" s="1"/>
  <c r="C22" i="7"/>
  <c r="M6" i="7" s="1"/>
  <c r="M4" i="7"/>
  <c r="C27" i="7"/>
  <c r="M11" i="7" s="1"/>
  <c r="D25" i="7"/>
  <c r="N9" i="7" s="1"/>
  <c r="D24" i="7"/>
  <c r="N8" i="7" s="1"/>
  <c r="D26" i="7"/>
  <c r="N10" i="7" s="1"/>
  <c r="D23" i="7"/>
  <c r="N7" i="7" s="1"/>
  <c r="D22" i="7"/>
  <c r="N6" i="7" s="1"/>
  <c r="D27" i="7"/>
  <c r="N11" i="7" s="1"/>
  <c r="D21" i="7"/>
  <c r="N5" i="7" s="1"/>
  <c r="N3" i="7"/>
  <c r="D20" i="7"/>
  <c r="N4" i="7" s="1"/>
  <c r="N21" i="1"/>
  <c r="N29" i="1" s="1"/>
  <c r="O18" i="1"/>
  <c r="O26" i="1" s="1"/>
  <c r="O21" i="1"/>
  <c r="O29" i="1" s="1"/>
  <c r="O17" i="1"/>
  <c r="O25" i="1" s="1"/>
  <c r="N18" i="1"/>
  <c r="N26" i="1" s="1"/>
  <c r="O19" i="1"/>
  <c r="O27" i="1" s="1"/>
  <c r="N19" i="1"/>
  <c r="N27" i="1" s="1"/>
  <c r="N16" i="1"/>
  <c r="N24" i="1" s="1"/>
  <c r="N20" i="1"/>
  <c r="N28" i="1" s="1"/>
  <c r="O16" i="1"/>
  <c r="O24" i="1" s="1"/>
  <c r="O20" i="1"/>
  <c r="O28" i="1" s="1"/>
  <c r="N17" i="1"/>
  <c r="N25" i="1" s="1"/>
  <c r="M19" i="1"/>
  <c r="M27" i="1" s="1"/>
  <c r="L16" i="1"/>
  <c r="L24" i="1" s="1"/>
  <c r="L20" i="1"/>
  <c r="L28" i="1" s="1"/>
  <c r="M16" i="1"/>
  <c r="M24" i="1" s="1"/>
  <c r="M20" i="1"/>
  <c r="M28" i="1" s="1"/>
  <c r="L17" i="1"/>
  <c r="L25" i="1" s="1"/>
  <c r="L21" i="1"/>
  <c r="L29" i="1" s="1"/>
  <c r="M17" i="1"/>
  <c r="M25" i="1" s="1"/>
  <c r="M21" i="1"/>
  <c r="M29" i="1" s="1"/>
  <c r="L18" i="1"/>
  <c r="L26" i="1" s="1"/>
  <c r="M18" i="1"/>
  <c r="M26" i="1" s="1"/>
  <c r="L19" i="1"/>
  <c r="L27" i="1" s="1"/>
  <c r="M15" i="6"/>
  <c r="H15" i="6"/>
  <c r="T4" i="6" s="1"/>
  <c r="H16" i="6"/>
  <c r="T3" i="6"/>
  <c r="P4" i="6"/>
  <c r="S5" i="6"/>
  <c r="S6" i="6"/>
  <c r="S7" i="6"/>
  <c r="T7" i="6"/>
  <c r="S8" i="6"/>
  <c r="P9" i="6"/>
  <c r="T9" i="6"/>
  <c r="S10" i="6"/>
  <c r="P11" i="6"/>
  <c r="H1" i="6"/>
  <c r="D1" i="6"/>
  <c r="E1" i="6"/>
  <c r="F1" i="6"/>
  <c r="G1" i="6"/>
  <c r="C1" i="6"/>
  <c r="D15" i="6"/>
  <c r="P5" i="6" s="1"/>
  <c r="E15" i="6"/>
  <c r="Q10" i="6" s="1"/>
  <c r="F15" i="6"/>
  <c r="G15" i="6"/>
  <c r="S3" i="6" s="1"/>
  <c r="D16" i="6"/>
  <c r="P8" i="6" s="1"/>
  <c r="E16" i="6"/>
  <c r="Q8" i="6" s="1"/>
  <c r="F16" i="6"/>
  <c r="G16" i="6"/>
  <c r="C16" i="6"/>
  <c r="O8" i="6" s="1"/>
  <c r="C15" i="6"/>
  <c r="O9" i="6" s="1"/>
  <c r="H13" i="6"/>
  <c r="H14" i="6" s="1"/>
  <c r="G13" i="6"/>
  <c r="G14" i="6" s="1"/>
  <c r="F13" i="6"/>
  <c r="F14" i="6" s="1"/>
  <c r="E13" i="6"/>
  <c r="E14" i="6" s="1"/>
  <c r="D13" i="6"/>
  <c r="D14" i="6" s="1"/>
  <c r="C13" i="6"/>
  <c r="C14" i="6" s="1"/>
  <c r="N21" i="9" l="1"/>
  <c r="P22" i="9"/>
  <c r="N22" i="9"/>
  <c r="N23" i="9"/>
  <c r="P23" i="9"/>
  <c r="D27" i="9"/>
  <c r="P25" i="9"/>
  <c r="N25" i="9"/>
  <c r="P21" i="9"/>
  <c r="P24" i="9"/>
  <c r="N24" i="9"/>
  <c r="N20" i="9"/>
  <c r="AZ7" i="8"/>
  <c r="AQ7" i="8"/>
  <c r="AM7" i="8"/>
  <c r="AV7" i="8"/>
  <c r="BC10" i="8"/>
  <c r="AT10" i="8"/>
  <c r="AW7" i="8"/>
  <c r="AN7" i="8"/>
  <c r="AT11" i="8"/>
  <c r="BC11" i="8"/>
  <c r="AX7" i="8"/>
  <c r="AO7" i="8"/>
  <c r="BC12" i="8"/>
  <c r="AT12" i="8"/>
  <c r="BC8" i="8"/>
  <c r="AT8" i="8"/>
  <c r="AY7" i="8"/>
  <c r="AP7" i="8"/>
  <c r="AT9" i="8"/>
  <c r="BC9" i="8"/>
  <c r="BA7" i="8"/>
  <c r="AR7" i="8"/>
  <c r="M13" i="7"/>
  <c r="M14" i="7"/>
  <c r="Q14" i="7"/>
  <c r="Q13" i="7"/>
  <c r="P14" i="7"/>
  <c r="P13" i="7"/>
  <c r="R13" i="7"/>
  <c r="R14" i="7"/>
  <c r="N14" i="7"/>
  <c r="N13" i="7"/>
  <c r="O14" i="7"/>
  <c r="O13" i="7"/>
  <c r="O10" i="6"/>
  <c r="V10" i="6" s="1"/>
  <c r="P10" i="6"/>
  <c r="Q3" i="6"/>
  <c r="O3" i="6"/>
  <c r="O11" i="6"/>
  <c r="Q5" i="6"/>
  <c r="P3" i="6"/>
  <c r="O4" i="6"/>
  <c r="T11" i="6"/>
  <c r="V11" i="6" s="1"/>
  <c r="S9" i="6"/>
  <c r="Q7" i="6"/>
  <c r="O5" i="6"/>
  <c r="V5" i="6" s="1"/>
  <c r="S11" i="6"/>
  <c r="Q9" i="6"/>
  <c r="P7" i="6"/>
  <c r="S4" i="6"/>
  <c r="O6" i="6"/>
  <c r="Q11" i="6"/>
  <c r="Q4" i="6"/>
  <c r="O7" i="6"/>
  <c r="X7" i="6" s="1"/>
  <c r="Q6" i="6"/>
  <c r="P6" i="6"/>
  <c r="T5" i="6"/>
  <c r="R3" i="6"/>
  <c r="L7" i="6"/>
  <c r="L5" i="6"/>
  <c r="L9" i="6"/>
  <c r="R9" i="6"/>
  <c r="V9" i="6" s="1"/>
  <c r="R8" i="6"/>
  <c r="R5" i="6"/>
  <c r="R4" i="6"/>
  <c r="L11" i="6"/>
  <c r="R11" i="6"/>
  <c r="R10" i="6"/>
  <c r="R7" i="6"/>
  <c r="R6" i="6"/>
  <c r="L4" i="6"/>
  <c r="L13" i="6" s="1"/>
  <c r="L6" i="6"/>
  <c r="L8" i="6"/>
  <c r="L10" i="6"/>
  <c r="T10" i="6"/>
  <c r="X10" i="6" s="1"/>
  <c r="T8" i="6"/>
  <c r="X8" i="6" s="1"/>
  <c r="T6" i="6"/>
  <c r="V3" i="6"/>
  <c r="V8" i="6"/>
  <c r="V4" i="6"/>
  <c r="N26" i="9" l="1"/>
  <c r="N27" i="9"/>
  <c r="BD9" i="8"/>
  <c r="AT7" i="8"/>
  <c r="BC7" i="8"/>
  <c r="BD12" i="8"/>
  <c r="BD10" i="8"/>
  <c r="BD11" i="8"/>
  <c r="BD8" i="8"/>
  <c r="AA10" i="7"/>
  <c r="AB10" i="7" s="1"/>
  <c r="AA9" i="7"/>
  <c r="AB9" i="7" s="1"/>
  <c r="S22" i="7"/>
  <c r="T22" i="7" s="1"/>
  <c r="S20" i="7"/>
  <c r="T20" i="7" s="1"/>
  <c r="S18" i="7"/>
  <c r="T18" i="7" s="1"/>
  <c r="S17" i="7"/>
  <c r="T17" i="7" s="1"/>
  <c r="S21" i="7"/>
  <c r="T21" i="7" s="1"/>
  <c r="AA8" i="7"/>
  <c r="AB8" i="7" s="1"/>
  <c r="S19" i="7"/>
  <c r="T19" i="7" s="1"/>
  <c r="AA6" i="7"/>
  <c r="AB6" i="7" s="1"/>
  <c r="S23" i="7"/>
  <c r="T23" i="7" s="1"/>
  <c r="AA5" i="7"/>
  <c r="AB5" i="7" s="1"/>
  <c r="AA4" i="7"/>
  <c r="AB4" i="7" s="1"/>
  <c r="AA3" i="7"/>
  <c r="AB3" i="7" s="1"/>
  <c r="S24" i="7"/>
  <c r="T24" i="7" s="1"/>
  <c r="AA11" i="7"/>
  <c r="AB11" i="7" s="1"/>
  <c r="S16" i="7"/>
  <c r="T16" i="7" s="1"/>
  <c r="AA7" i="7"/>
  <c r="AB7" i="7" s="1"/>
  <c r="X5" i="6"/>
  <c r="V12" i="6"/>
  <c r="X9" i="6"/>
  <c r="X6" i="6"/>
  <c r="X11" i="6"/>
  <c r="V7" i="6"/>
  <c r="V13" i="6" s="1"/>
  <c r="L12" i="6"/>
  <c r="O21" i="6" s="1"/>
  <c r="V6" i="6"/>
  <c r="H13" i="5"/>
  <c r="H14" i="5" s="1"/>
  <c r="G13" i="5"/>
  <c r="G14" i="5" s="1"/>
  <c r="F13" i="5"/>
  <c r="F14" i="5" s="1"/>
  <c r="E13" i="5"/>
  <c r="E14" i="5" s="1"/>
  <c r="D13" i="5"/>
  <c r="D14" i="5" s="1"/>
  <c r="C25" i="4"/>
  <c r="G27" i="9" l="1"/>
  <c r="BD7" i="8"/>
  <c r="G30" i="9"/>
  <c r="G29" i="9"/>
  <c r="G31" i="9"/>
  <c r="G28" i="9"/>
  <c r="G32" i="9"/>
  <c r="Y21" i="7"/>
  <c r="Y17" i="7"/>
  <c r="Y22" i="7"/>
  <c r="Y20" i="7"/>
  <c r="Y19" i="7"/>
  <c r="Y24" i="7"/>
  <c r="Y23" i="7"/>
  <c r="Y18" i="7"/>
  <c r="Y16" i="7"/>
  <c r="O16" i="6"/>
  <c r="O15" i="6"/>
  <c r="O18" i="6"/>
  <c r="G21" i="5"/>
  <c r="O5" i="5" s="1"/>
  <c r="G27" i="5"/>
  <c r="O11" i="5" s="1"/>
  <c r="G20" i="5"/>
  <c r="O4" i="5" s="1"/>
  <c r="G22" i="5"/>
  <c r="O6" i="5" s="1"/>
  <c r="G24" i="5"/>
  <c r="O8" i="5" s="1"/>
  <c r="G26" i="5"/>
  <c r="O10" i="5" s="1"/>
  <c r="G19" i="5"/>
  <c r="O3" i="5" s="1"/>
  <c r="G25" i="5"/>
  <c r="O9" i="5" s="1"/>
  <c r="G23" i="5"/>
  <c r="O7" i="5" s="1"/>
  <c r="H19" i="5"/>
  <c r="P3" i="5" s="1"/>
  <c r="H21" i="5"/>
  <c r="P5" i="5" s="1"/>
  <c r="H23" i="5"/>
  <c r="P7" i="5" s="1"/>
  <c r="H25" i="5"/>
  <c r="P9" i="5" s="1"/>
  <c r="H27" i="5"/>
  <c r="P11" i="5" s="1"/>
  <c r="H20" i="5"/>
  <c r="P4" i="5" s="1"/>
  <c r="H22" i="5"/>
  <c r="P6" i="5" s="1"/>
  <c r="H24" i="5"/>
  <c r="P8" i="5" s="1"/>
  <c r="H26" i="5"/>
  <c r="P10" i="5" s="1"/>
  <c r="O19" i="6"/>
  <c r="O20" i="6"/>
  <c r="O13" i="6"/>
  <c r="C19" i="5"/>
  <c r="K3" i="5" s="1"/>
  <c r="C26" i="5"/>
  <c r="K10" i="5" s="1"/>
  <c r="C24" i="5"/>
  <c r="K8" i="5" s="1"/>
  <c r="C20" i="5"/>
  <c r="K4" i="5" s="1"/>
  <c r="C25" i="5"/>
  <c r="K9" i="5" s="1"/>
  <c r="C23" i="5"/>
  <c r="K7" i="5" s="1"/>
  <c r="C27" i="5"/>
  <c r="K11" i="5" s="1"/>
  <c r="C22" i="5"/>
  <c r="K6" i="5" s="1"/>
  <c r="C21" i="5"/>
  <c r="K5" i="5" s="1"/>
  <c r="E26" i="5"/>
  <c r="M10" i="5" s="1"/>
  <c r="E20" i="5"/>
  <c r="M4" i="5" s="1"/>
  <c r="E24" i="5"/>
  <c r="M8" i="5" s="1"/>
  <c r="E22" i="5"/>
  <c r="M6" i="5" s="1"/>
  <c r="E19" i="5"/>
  <c r="M3" i="5" s="1"/>
  <c r="E25" i="5"/>
  <c r="M9" i="5" s="1"/>
  <c r="E21" i="5"/>
  <c r="M5" i="5" s="1"/>
  <c r="E23" i="5"/>
  <c r="M7" i="5" s="1"/>
  <c r="E27" i="5"/>
  <c r="M11" i="5" s="1"/>
  <c r="D20" i="5"/>
  <c r="L4" i="5" s="1"/>
  <c r="D22" i="5"/>
  <c r="L6" i="5" s="1"/>
  <c r="D24" i="5"/>
  <c r="L8" i="5" s="1"/>
  <c r="D26" i="5"/>
  <c r="L10" i="5" s="1"/>
  <c r="D19" i="5"/>
  <c r="L3" i="5" s="1"/>
  <c r="D21" i="5"/>
  <c r="L5" i="5" s="1"/>
  <c r="D23" i="5"/>
  <c r="L7" i="5" s="1"/>
  <c r="D25" i="5"/>
  <c r="L9" i="5" s="1"/>
  <c r="D27" i="5"/>
  <c r="L11" i="5" s="1"/>
  <c r="O17" i="6"/>
  <c r="O14" i="6"/>
  <c r="F19" i="5"/>
  <c r="N3" i="5" s="1"/>
  <c r="F21" i="5"/>
  <c r="N5" i="5" s="1"/>
  <c r="F23" i="5"/>
  <c r="N7" i="5" s="1"/>
  <c r="F25" i="5"/>
  <c r="N9" i="5" s="1"/>
  <c r="F27" i="5"/>
  <c r="N11" i="5" s="1"/>
  <c r="F20" i="5"/>
  <c r="N4" i="5" s="1"/>
  <c r="F22" i="5"/>
  <c r="N6" i="5" s="1"/>
  <c r="F24" i="5"/>
  <c r="N8" i="5" s="1"/>
  <c r="F26" i="5"/>
  <c r="N10" i="5" s="1"/>
  <c r="K1" i="4"/>
  <c r="L1" i="4"/>
  <c r="M1" i="4"/>
  <c r="N1" i="4"/>
  <c r="O1" i="4"/>
  <c r="P1" i="4"/>
  <c r="C17" i="4"/>
  <c r="K17" i="4" s="1"/>
  <c r="C11" i="4"/>
  <c r="C12" i="4" s="1"/>
  <c r="C23" i="4" s="1"/>
  <c r="K23" i="4" s="1"/>
  <c r="H12" i="4"/>
  <c r="H16" i="4" s="1"/>
  <c r="P16" i="4" s="1"/>
  <c r="D11" i="4"/>
  <c r="D12" i="4" s="1"/>
  <c r="E11" i="4"/>
  <c r="E12" i="4" s="1"/>
  <c r="F11" i="4"/>
  <c r="F12" i="4" s="1"/>
  <c r="G11" i="4"/>
  <c r="G12" i="4" s="1"/>
  <c r="H11" i="4"/>
  <c r="D16" i="4" l="1"/>
  <c r="L16" i="4" s="1"/>
  <c r="D18" i="4"/>
  <c r="L18" i="4" s="1"/>
  <c r="D20" i="4"/>
  <c r="L20" i="4" s="1"/>
  <c r="D22" i="4"/>
  <c r="L22" i="4" s="1"/>
  <c r="D21" i="4"/>
  <c r="L21" i="4" s="1"/>
  <c r="D15" i="4"/>
  <c r="D17" i="4"/>
  <c r="L17" i="4" s="1"/>
  <c r="D19" i="4"/>
  <c r="L19" i="4" s="1"/>
  <c r="D23" i="4"/>
  <c r="L23" i="4" s="1"/>
  <c r="G23" i="4"/>
  <c r="O23" i="4" s="1"/>
  <c r="G16" i="4"/>
  <c r="O16" i="4" s="1"/>
  <c r="G18" i="4"/>
  <c r="O18" i="4" s="1"/>
  <c r="G20" i="4"/>
  <c r="O20" i="4" s="1"/>
  <c r="G22" i="4"/>
  <c r="O22" i="4" s="1"/>
  <c r="G15" i="4"/>
  <c r="G17" i="4"/>
  <c r="O17" i="4" s="1"/>
  <c r="G19" i="4"/>
  <c r="O19" i="4" s="1"/>
  <c r="G21" i="4"/>
  <c r="O21" i="4" s="1"/>
  <c r="E16" i="4"/>
  <c r="M16" i="4" s="1"/>
  <c r="E18" i="4"/>
  <c r="M18" i="4" s="1"/>
  <c r="E20" i="4"/>
  <c r="M20" i="4" s="1"/>
  <c r="E22" i="4"/>
  <c r="M22" i="4" s="1"/>
  <c r="E19" i="4"/>
  <c r="M19" i="4" s="1"/>
  <c r="E15" i="4"/>
  <c r="E17" i="4"/>
  <c r="M17" i="4" s="1"/>
  <c r="E21" i="4"/>
  <c r="M21" i="4" s="1"/>
  <c r="E23" i="4"/>
  <c r="M23" i="4" s="1"/>
  <c r="C16" i="4"/>
  <c r="K16" i="4" s="1"/>
  <c r="H23" i="4"/>
  <c r="P23" i="4" s="1"/>
  <c r="H21" i="4"/>
  <c r="P21" i="4" s="1"/>
  <c r="H19" i="4"/>
  <c r="P19" i="4" s="1"/>
  <c r="H17" i="4"/>
  <c r="P17" i="4" s="1"/>
  <c r="H15" i="4"/>
  <c r="L14" i="5"/>
  <c r="L13" i="5"/>
  <c r="M14" i="5"/>
  <c r="M13" i="5"/>
  <c r="C18" i="4"/>
  <c r="K18" i="4" s="1"/>
  <c r="C19" i="4"/>
  <c r="K19" i="4" s="1"/>
  <c r="P14" i="5"/>
  <c r="P13" i="5"/>
  <c r="C20" i="4"/>
  <c r="K20" i="4" s="1"/>
  <c r="H22" i="4"/>
  <c r="P22" i="4" s="1"/>
  <c r="H20" i="4"/>
  <c r="P20" i="4" s="1"/>
  <c r="H18" i="4"/>
  <c r="P18" i="4" s="1"/>
  <c r="C21" i="4"/>
  <c r="K21" i="4" s="1"/>
  <c r="C22" i="4"/>
  <c r="K22" i="4" s="1"/>
  <c r="O14" i="5"/>
  <c r="O13" i="5"/>
  <c r="C15" i="4"/>
  <c r="F15" i="4"/>
  <c r="F17" i="4"/>
  <c r="N17" i="4" s="1"/>
  <c r="F19" i="4"/>
  <c r="N19" i="4" s="1"/>
  <c r="F21" i="4"/>
  <c r="N21" i="4" s="1"/>
  <c r="F23" i="4"/>
  <c r="N23" i="4" s="1"/>
  <c r="F16" i="4"/>
  <c r="N16" i="4" s="1"/>
  <c r="F18" i="4"/>
  <c r="N18" i="4" s="1"/>
  <c r="F20" i="4"/>
  <c r="N20" i="4" s="1"/>
  <c r="F22" i="4"/>
  <c r="N22" i="4" s="1"/>
  <c r="N14" i="5"/>
  <c r="N13" i="5"/>
  <c r="H29" i="2"/>
  <c r="D36" i="2"/>
  <c r="L20" i="2"/>
  <c r="G15" i="2"/>
  <c r="F26" i="2"/>
  <c r="F25" i="2"/>
  <c r="F24" i="2"/>
  <c r="F23" i="2"/>
  <c r="F22" i="2"/>
  <c r="F21" i="2"/>
  <c r="F20" i="2"/>
  <c r="F19" i="2"/>
  <c r="F18" i="2"/>
  <c r="E26" i="2"/>
  <c r="E25" i="2"/>
  <c r="E24" i="2"/>
  <c r="E23" i="2"/>
  <c r="E21" i="2"/>
  <c r="E20" i="2"/>
  <c r="E19" i="2"/>
  <c r="E18" i="2"/>
  <c r="D26" i="2"/>
  <c r="D25" i="2"/>
  <c r="D24" i="2"/>
  <c r="D23" i="2"/>
  <c r="D22" i="2"/>
  <c r="D21" i="2"/>
  <c r="D20" i="2"/>
  <c r="D19" i="2"/>
  <c r="D18" i="2"/>
  <c r="C19" i="2"/>
  <c r="C21" i="2"/>
  <c r="C18" i="2"/>
  <c r="O19" i="2" s="1"/>
  <c r="B29" i="2" s="1"/>
  <c r="B18" i="2"/>
  <c r="I18" i="2" s="1"/>
  <c r="J18" i="2" s="1"/>
  <c r="B19" i="2"/>
  <c r="B20" i="2"/>
  <c r="B21" i="2"/>
  <c r="B22" i="2"/>
  <c r="B23" i="2"/>
  <c r="G12" i="2"/>
  <c r="C26" i="2" s="1"/>
  <c r="G11" i="2"/>
  <c r="C25" i="2" s="1"/>
  <c r="G10" i="2"/>
  <c r="C24" i="2" s="1"/>
  <c r="G9" i="2"/>
  <c r="C23" i="2" s="1"/>
  <c r="G8" i="2"/>
  <c r="C22" i="2" s="1"/>
  <c r="G7" i="2"/>
  <c r="G6" i="2"/>
  <c r="C20" i="2" s="1"/>
  <c r="G5" i="2"/>
  <c r="G4" i="2"/>
  <c r="B26" i="2"/>
  <c r="B25" i="2"/>
  <c r="B24" i="2"/>
  <c r="C13" i="2"/>
  <c r="D13" i="2"/>
  <c r="E13" i="2"/>
  <c r="E22" i="2" s="1"/>
  <c r="F13" i="2"/>
  <c r="B13" i="2"/>
  <c r="L19" i="2" l="1"/>
  <c r="Q23" i="5"/>
  <c r="R23" i="5" s="1"/>
  <c r="O15" i="4"/>
  <c r="O8" i="4" s="1"/>
  <c r="O2" i="4" s="1"/>
  <c r="O3" i="4" s="1"/>
  <c r="O4" i="4" s="1"/>
  <c r="Y10" i="5"/>
  <c r="Z10" i="5" s="1"/>
  <c r="W23" i="5" s="1"/>
  <c r="L8" i="4"/>
  <c r="L2" i="4" s="1"/>
  <c r="L3" i="4" s="1"/>
  <c r="L4" i="4" s="1"/>
  <c r="L15" i="4"/>
  <c r="L21" i="2"/>
  <c r="L22" i="2"/>
  <c r="K8" i="4"/>
  <c r="K2" i="4" s="1"/>
  <c r="K3" i="4" s="1"/>
  <c r="K4" i="4" s="1"/>
  <c r="K15" i="4"/>
  <c r="M15" i="4"/>
  <c r="M8" i="4" s="1"/>
  <c r="M2" i="4" s="1"/>
  <c r="M3" i="4" s="1"/>
  <c r="M4" i="4" s="1"/>
  <c r="P8" i="4"/>
  <c r="P2" i="4" s="1"/>
  <c r="P3" i="4" s="1"/>
  <c r="P4" i="4" s="1"/>
  <c r="P15" i="4"/>
  <c r="N15" i="4"/>
  <c r="N8" i="4" s="1"/>
  <c r="N2" i="4" s="1"/>
  <c r="N3" i="4" s="1"/>
  <c r="N4" i="4" s="1"/>
  <c r="R17" i="5"/>
  <c r="Q20" i="5"/>
  <c r="R20" i="5" s="1"/>
  <c r="Q22" i="5"/>
  <c r="R22" i="5" s="1"/>
  <c r="Q21" i="5"/>
  <c r="R21" i="5" s="1"/>
  <c r="Q24" i="5"/>
  <c r="R24" i="5" s="1"/>
  <c r="Y3" i="5"/>
  <c r="Z3" i="5" s="1"/>
  <c r="Y5" i="5"/>
  <c r="Z5" i="5" s="1"/>
  <c r="Q18" i="5"/>
  <c r="R18" i="5" s="1"/>
  <c r="Y9" i="5"/>
  <c r="Z9" i="5" s="1"/>
  <c r="W22" i="5" s="1"/>
  <c r="Y4" i="5"/>
  <c r="Z4" i="5" s="1"/>
  <c r="Y8" i="5"/>
  <c r="Z8" i="5" s="1"/>
  <c r="W21" i="5" s="1"/>
  <c r="Y7" i="5"/>
  <c r="Z7" i="5" s="1"/>
  <c r="W20" i="5" s="1"/>
  <c r="Y11" i="5"/>
  <c r="Z11" i="5" s="1"/>
  <c r="Y6" i="5"/>
  <c r="Z6" i="5" s="1"/>
  <c r="Q19" i="5"/>
  <c r="R19" i="5" s="1"/>
  <c r="W24" i="5" l="1"/>
  <c r="R4" i="4"/>
  <c r="N6" i="4" s="1"/>
  <c r="W19" i="5"/>
  <c r="W17" i="5"/>
  <c r="W16" i="5"/>
  <c r="D14" i="1"/>
  <c r="E14" i="1"/>
  <c r="F14" i="1"/>
  <c r="H14" i="1"/>
  <c r="J14" i="1"/>
  <c r="K14" i="1"/>
  <c r="B16" i="1"/>
  <c r="K19" i="1" l="1"/>
  <c r="K27" i="1" s="1"/>
  <c r="H16" i="1"/>
  <c r="H24" i="1" s="1"/>
  <c r="F16" i="1"/>
  <c r="F24" i="1" s="1"/>
  <c r="D19" i="1"/>
  <c r="D27" i="1" s="1"/>
  <c r="D17" i="1"/>
  <c r="D25" i="1" s="1"/>
  <c r="D16" i="1"/>
  <c r="D24" i="1" s="1"/>
  <c r="D21" i="1"/>
  <c r="C16" i="1"/>
  <c r="C24" i="1" s="1"/>
  <c r="B24" i="1"/>
  <c r="B17" i="1"/>
  <c r="B25" i="1" s="1"/>
  <c r="C17" i="1"/>
  <c r="C25" i="1" s="1"/>
  <c r="K16" i="1"/>
  <c r="K24" i="1" s="1"/>
  <c r="K17" i="1"/>
  <c r="K25" i="1" s="1"/>
  <c r="K18" i="1"/>
  <c r="K26" i="1" s="1"/>
  <c r="D20" i="1"/>
  <c r="D28" i="1" s="1"/>
  <c r="E21" i="1"/>
  <c r="E29" i="1" s="1"/>
  <c r="C18" i="1"/>
  <c r="C26" i="1" s="1"/>
  <c r="J18" i="1"/>
  <c r="J26" i="1" s="1"/>
  <c r="K20" i="1"/>
  <c r="K28" i="1" s="1"/>
  <c r="E20" i="1"/>
  <c r="E28" i="1" s="1"/>
  <c r="B18" i="1"/>
  <c r="B26" i="1" s="1"/>
  <c r="J17" i="1"/>
  <c r="J25" i="1" s="1"/>
  <c r="K21" i="1"/>
  <c r="K29" i="1" s="1"/>
  <c r="B19" i="1"/>
  <c r="B27" i="1" s="1"/>
  <c r="C19" i="1"/>
  <c r="C27" i="1" s="1"/>
  <c r="I16" i="1"/>
  <c r="I24" i="1" s="1"/>
  <c r="I17" i="1"/>
  <c r="I25" i="1" s="1"/>
  <c r="I18" i="1"/>
  <c r="I26" i="1" s="1"/>
  <c r="J19" i="1"/>
  <c r="J27" i="1" s="1"/>
  <c r="J20" i="1"/>
  <c r="J28" i="1" s="1"/>
  <c r="J21" i="1"/>
  <c r="J29" i="1" s="1"/>
  <c r="E19" i="1"/>
  <c r="J16" i="1"/>
  <c r="J24" i="1" s="1"/>
  <c r="B20" i="1"/>
  <c r="B28" i="1" s="1"/>
  <c r="C20" i="1"/>
  <c r="C28" i="1" s="1"/>
  <c r="H17" i="1"/>
  <c r="H25" i="1" s="1"/>
  <c r="H18" i="1"/>
  <c r="H26" i="1" s="1"/>
  <c r="I19" i="1"/>
  <c r="I27" i="1" s="1"/>
  <c r="I20" i="1"/>
  <c r="I28" i="1" s="1"/>
  <c r="I21" i="1"/>
  <c r="I29" i="1" s="1"/>
  <c r="B21" i="1"/>
  <c r="C21" i="1"/>
  <c r="G16" i="1"/>
  <c r="G24" i="1" s="1"/>
  <c r="G17" i="1"/>
  <c r="G25" i="1" s="1"/>
  <c r="G18" i="1"/>
  <c r="G26" i="1" s="1"/>
  <c r="H19" i="1"/>
  <c r="H27" i="1" s="1"/>
  <c r="H20" i="1"/>
  <c r="H28" i="1" s="1"/>
  <c r="H21" i="1"/>
  <c r="H29" i="1" s="1"/>
  <c r="F17" i="1"/>
  <c r="F25" i="1" s="1"/>
  <c r="F18" i="1"/>
  <c r="F26" i="1" s="1"/>
  <c r="G19" i="1"/>
  <c r="G27" i="1" s="1"/>
  <c r="G20" i="1"/>
  <c r="G28" i="1" s="1"/>
  <c r="G21" i="1"/>
  <c r="G29" i="1" s="1"/>
  <c r="D18" i="1"/>
  <c r="D26" i="1" s="1"/>
  <c r="E16" i="1"/>
  <c r="E24" i="1" s="1"/>
  <c r="E17" i="1"/>
  <c r="E25" i="1" s="1"/>
  <c r="E18" i="1"/>
  <c r="E26" i="1" s="1"/>
  <c r="F19" i="1"/>
  <c r="F27" i="1" s="1"/>
  <c r="F20" i="1"/>
  <c r="F28" i="1" s="1"/>
  <c r="F21" i="1"/>
  <c r="F29" i="1" s="1"/>
  <c r="P6" i="4"/>
  <c r="O6" i="4"/>
  <c r="L6" i="4"/>
  <c r="K6" i="4"/>
  <c r="M6" i="4"/>
  <c r="B32" i="1" l="1"/>
  <c r="B37" i="1"/>
  <c r="E37" i="1" s="1"/>
  <c r="B36" i="1"/>
  <c r="D36" i="1" s="1"/>
  <c r="B34" i="1"/>
  <c r="B35" i="1"/>
  <c r="B33" i="1"/>
  <c r="E35" i="1" l="1"/>
  <c r="E33" i="1"/>
  <c r="E34" i="1"/>
  <c r="E36" i="1"/>
  <c r="E32" i="1"/>
</calcChain>
</file>

<file path=xl/sharedStrings.xml><?xml version="1.0" encoding="utf-8"?>
<sst xmlns="http://schemas.openxmlformats.org/spreadsheetml/2006/main" count="494" uniqueCount="228">
  <si>
    <t>Material</t>
  </si>
  <si>
    <t>SH</t>
  </si>
  <si>
    <t>X11</t>
  </si>
  <si>
    <t>CH</t>
  </si>
  <si>
    <t>SFL</t>
  </si>
  <si>
    <t>BFL</t>
  </si>
  <si>
    <t>UTS</t>
  </si>
  <si>
    <t>x11</t>
  </si>
  <si>
    <t>x12</t>
  </si>
  <si>
    <t>x13</t>
  </si>
  <si>
    <t>x14</t>
  </si>
  <si>
    <t>x15</t>
  </si>
  <si>
    <t>x16</t>
  </si>
  <si>
    <t>X12</t>
  </si>
  <si>
    <t>X13</t>
  </si>
  <si>
    <t>X14</t>
  </si>
  <si>
    <t>X15</t>
  </si>
  <si>
    <t>X16</t>
  </si>
  <si>
    <t>Pi</t>
  </si>
  <si>
    <t>Ri</t>
  </si>
  <si>
    <t>Qi</t>
  </si>
  <si>
    <t>Rank</t>
  </si>
  <si>
    <t>MATERIAL</t>
  </si>
  <si>
    <t>rij Material</t>
  </si>
  <si>
    <t>CH non beneficial</t>
  </si>
  <si>
    <t>d12</t>
  </si>
  <si>
    <t>P11</t>
  </si>
  <si>
    <t>P12</t>
  </si>
  <si>
    <t>P13</t>
  </si>
  <si>
    <t>P14</t>
  </si>
  <si>
    <t>P15</t>
  </si>
  <si>
    <t>Material Pair</t>
  </si>
  <si>
    <t>P(1,2)</t>
  </si>
  <si>
    <t>P(1,3)</t>
  </si>
  <si>
    <t>P(1,4)</t>
  </si>
  <si>
    <t>P(1,5)</t>
  </si>
  <si>
    <t>P(1,6)</t>
  </si>
  <si>
    <t>P(1,7)</t>
  </si>
  <si>
    <t>P(1,8)</t>
  </si>
  <si>
    <t>P(1,9)</t>
  </si>
  <si>
    <t>P(2,1)</t>
  </si>
  <si>
    <t>P(2,3)</t>
  </si>
  <si>
    <t>P(2,4)</t>
  </si>
  <si>
    <t>P(2,5)</t>
  </si>
  <si>
    <t>P(2,6)</t>
  </si>
  <si>
    <t>P(2,7)</t>
  </si>
  <si>
    <t>P(2,8)</t>
  </si>
  <si>
    <t>P(2,9)</t>
  </si>
  <si>
    <t>P(3,1)</t>
  </si>
  <si>
    <t>P(3,2)</t>
  </si>
  <si>
    <t>P(3,4)</t>
  </si>
  <si>
    <t>P(3,5)</t>
  </si>
  <si>
    <t>P(3,6)</t>
  </si>
  <si>
    <t>P(3,7)</t>
  </si>
  <si>
    <t>P(3,8)</t>
  </si>
  <si>
    <t>WP(i,i´)</t>
  </si>
  <si>
    <t>r11-r12</t>
  </si>
  <si>
    <t>r21-r22</t>
  </si>
  <si>
    <t>r31-r32</t>
  </si>
  <si>
    <t>r41-r42</t>
  </si>
  <si>
    <t>r51-r52</t>
  </si>
  <si>
    <r>
      <t>(w1x(r11-r16)) +w2x(r21-r26)+ w3x(r31-r36)) +w4x(r41-r46) +w5x(r51-r56)=</t>
    </r>
    <r>
      <rPr>
        <sz val="11"/>
        <color rgb="FF000000"/>
        <rFont val="Calibri"/>
        <family val="2"/>
        <scheme val="minor"/>
      </rPr>
      <t xml:space="preserve"> </t>
    </r>
  </si>
  <si>
    <t>SP</t>
  </si>
  <si>
    <t>TP</t>
  </si>
  <si>
    <t>P(3,9)</t>
  </si>
  <si>
    <t>d</t>
  </si>
  <si>
    <t>SUMA</t>
  </si>
  <si>
    <r>
      <t>Φ</t>
    </r>
    <r>
      <rPr>
        <sz val="11"/>
        <color rgb="FF000000"/>
        <rFont val="Calibri"/>
        <family val="2"/>
        <scheme val="minor"/>
      </rPr>
      <t>i+(i)</t>
    </r>
  </si>
  <si>
    <t>Φi-(i)</t>
  </si>
  <si>
    <t>relative permability</t>
  </si>
  <si>
    <t xml:space="preserve">electric conductivity </t>
  </si>
  <si>
    <t>Thermic difussivity</t>
  </si>
  <si>
    <t>cost</t>
  </si>
  <si>
    <t>corrosion resistance</t>
  </si>
  <si>
    <t>17094 ohm-1-cm</t>
  </si>
  <si>
    <t>thermal conductivity W/mK</t>
  </si>
  <si>
    <t>Yield strength</t>
  </si>
  <si>
    <t>ASTM A677 Steel M-15 Nonoriented Electrical Steel</t>
  </si>
  <si>
    <t>490 Mpa</t>
  </si>
  <si>
    <t>16700 ohm-1-cm</t>
  </si>
  <si>
    <t>540 Mpa</t>
  </si>
  <si>
    <t>temperatura de curie (º C)</t>
  </si>
  <si>
    <t>AISI 430</t>
  </si>
  <si>
    <t>530 Mpa</t>
  </si>
  <si>
    <t>AISI 410</t>
  </si>
  <si>
    <t>1225 Mpa</t>
  </si>
  <si>
    <t>531 Mpa</t>
  </si>
  <si>
    <t>Cast Iron</t>
  </si>
  <si>
    <t>494 Mpa</t>
  </si>
  <si>
    <t>Co</t>
  </si>
  <si>
    <t>Ni</t>
  </si>
  <si>
    <t>225 Mpa</t>
  </si>
  <si>
    <t>59 Mpa</t>
  </si>
  <si>
    <t xml:space="preserve">permalloy  (79 % Ni,  4 % Mo, 17 % Fe) </t>
  </si>
  <si>
    <t>Mumetal (77 % Ni, 4 % Mo, 14 % Fe, 5 %Cu)</t>
  </si>
  <si>
    <t>YM (Gpa)</t>
  </si>
  <si>
    <t>CS (Mpa)</t>
  </si>
  <si>
    <t>FT (Mpam)1/2</t>
  </si>
  <si>
    <t>MLC</t>
  </si>
  <si>
    <t>H(HV)</t>
  </si>
  <si>
    <t>C($/kg)</t>
  </si>
  <si>
    <t>AISI 1020</t>
  </si>
  <si>
    <t>AISI 1040</t>
  </si>
  <si>
    <t>AISI 4140</t>
  </si>
  <si>
    <t>AISI 6150</t>
  </si>
  <si>
    <t>AISI 8620</t>
  </si>
  <si>
    <t>Maraging steel</t>
  </si>
  <si>
    <t>AISI S5</t>
  </si>
  <si>
    <t>Tungsten carbide-cobalt</t>
  </si>
  <si>
    <t>Fe-5Cr-Mo-V</t>
  </si>
  <si>
    <t>Alternative</t>
  </si>
  <si>
    <t>Pij</t>
  </si>
  <si>
    <t>YM</t>
  </si>
  <si>
    <t>CS</t>
  </si>
  <si>
    <t>FT</t>
  </si>
  <si>
    <t>H</t>
  </si>
  <si>
    <t>C</t>
  </si>
  <si>
    <t>k =</t>
  </si>
  <si>
    <t>lognep(Pij)</t>
  </si>
  <si>
    <t>Ej</t>
  </si>
  <si>
    <t>sumatorio(Pij)lognep(Pij)</t>
  </si>
  <si>
    <t>dj</t>
  </si>
  <si>
    <t>βj</t>
  </si>
  <si>
    <t>wj</t>
  </si>
  <si>
    <t>suma xi^2</t>
  </si>
  <si>
    <t>raiz(suma xi^2)</t>
  </si>
  <si>
    <t>Vij</t>
  </si>
  <si>
    <t>S+</t>
  </si>
  <si>
    <t>suma cuadrados</t>
  </si>
  <si>
    <t>raiz suma cuadrados</t>
  </si>
  <si>
    <t>nij</t>
  </si>
  <si>
    <t>Cij</t>
  </si>
  <si>
    <t>Vj+</t>
  </si>
  <si>
    <t>Vj-</t>
  </si>
  <si>
    <t>i=1,…,9</t>
  </si>
  <si>
    <t>j=1,...,6</t>
  </si>
  <si>
    <t>Si+</t>
  </si>
  <si>
    <t>Si-</t>
  </si>
  <si>
    <t>maximo</t>
  </si>
  <si>
    <t>minimo</t>
  </si>
  <si>
    <t>Nota: Se tiene en cuenta el mínimo del precio para VJ+ y el máximo del precio para Vj- para los calculos de los S+ y el S-</t>
  </si>
  <si>
    <t>Ei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</si>
  <si>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</si>
  <si>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</si>
  <si>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</si>
  <si>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</si>
  <si>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</si>
  <si>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</si>
  <si>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</si>
  <si>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</si>
  <si>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</si>
  <si>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j=1,...,m=6</t>
  </si>
  <si>
    <t>i=1,…,n=9</t>
  </si>
  <si>
    <t>Fi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</si>
  <si>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</si>
  <si>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</si>
  <si>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</si>
  <si>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</si>
  <si>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</si>
  <si>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</si>
  <si>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</si>
  <si>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</si>
  <si>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</si>
  <si>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Ei-max</t>
  </si>
  <si>
    <t>Ei-min</t>
  </si>
  <si>
    <t>Fi-max</t>
  </si>
  <si>
    <t>Fi-min</t>
  </si>
  <si>
    <t>F1 max</t>
  </si>
  <si>
    <t>F2 max</t>
  </si>
  <si>
    <t>F3 max</t>
  </si>
  <si>
    <t>F4 max</t>
  </si>
  <si>
    <t>F5 max</t>
  </si>
  <si>
    <t>F6 max</t>
  </si>
  <si>
    <t>F8 max</t>
  </si>
  <si>
    <t>F9 max</t>
  </si>
  <si>
    <t>F7 max</t>
  </si>
  <si>
    <t>F1 min</t>
  </si>
  <si>
    <t>F2 min</t>
  </si>
  <si>
    <t>F3 min</t>
  </si>
  <si>
    <t>F4 min</t>
  </si>
  <si>
    <t>F5 min</t>
  </si>
  <si>
    <t>F6 min</t>
  </si>
  <si>
    <t>F7 min</t>
  </si>
  <si>
    <t>F8 min</t>
  </si>
  <si>
    <t>F9 min</t>
  </si>
  <si>
    <t>caso costo menor costo es máximo</t>
  </si>
  <si>
    <t>caso costo mayor costo es mínimo</t>
  </si>
  <si>
    <t>v=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</si>
  <si>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</si>
  <si>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</si>
  <si>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</si>
  <si>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</si>
  <si>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</si>
  <si>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</si>
  <si>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</si>
  <si>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</si>
  <si>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</si>
  <si>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ACERO HABITACULO</t>
  </si>
  <si>
    <t>2,5 % Mn+97,5% Al</t>
  </si>
  <si>
    <t>ACERO 1045</t>
  </si>
  <si>
    <t>ACERO 1020</t>
  </si>
  <si>
    <t>ACERO 10060</t>
  </si>
  <si>
    <t>ESFUERZO DE VON MISSES (Mpa)</t>
  </si>
  <si>
    <t>DEFORMACIÓN PLÁSTICA %</t>
  </si>
  <si>
    <t>DESPLAZAMIENTO  EN Z (mm)</t>
  </si>
  <si>
    <t>Density  g/cc</t>
  </si>
  <si>
    <t>RADIO DE POISON</t>
  </si>
  <si>
    <t>MODULO DE YOUNG(Gpas)</t>
  </si>
  <si>
    <t>TENSILE STRENGH ULTIMATE (Mpa)</t>
  </si>
  <si>
    <t>ACERO GALVANIZADO A36</t>
  </si>
  <si>
    <t>ACERO 1006</t>
  </si>
  <si>
    <t>PUNTUACIÓN FINAL</t>
  </si>
  <si>
    <t>SUMATORIA</t>
  </si>
  <si>
    <t xml:space="preserve">RANK </t>
  </si>
  <si>
    <t>ALTERNATIVE WITH QUANTITATIVE DATE</t>
  </si>
  <si>
    <t>NORMALIZATE DATA</t>
  </si>
  <si>
    <t>WEIGHTS FOR THE MATRIX</t>
  </si>
  <si>
    <t>WEIGHTED NORMALIZATED  MATRIX</t>
  </si>
  <si>
    <t>POSITIVE MATRIX</t>
  </si>
  <si>
    <t>Si +</t>
  </si>
  <si>
    <t>Si -</t>
  </si>
  <si>
    <t>Ci</t>
  </si>
  <si>
    <t>RANK</t>
  </si>
  <si>
    <t>METODO TOPSIS</t>
  </si>
  <si>
    <t>NEGATIVE  MATRIX</t>
  </si>
  <si>
    <t>ACERO GALVANIZADO ASTM 36</t>
  </si>
  <si>
    <t>ACERO 1000</t>
  </si>
  <si>
    <t>ACERO GALVANIZADO ASTM36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</si>
</sst>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0.00000"/>
    <numFmt numFmtId="168" formatCode="0.0000E+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0" borderId="0" xfId="0" applyFont="1"/>
    <xf numFmtId="165" fontId="0" fillId="0" borderId="0" xfId="0" applyNumberFormat="1"/>
    <xf numFmtId="0" fontId="4" fillId="2" borderId="0" xfId="0" applyFont="1" applyFill="1"/>
    <xf numFmtId="0" fontId="0" fillId="2" borderId="0" xfId="0" applyFill="1"/>
    <xf numFmtId="166" fontId="0" fillId="0" borderId="0" xfId="0" applyNumberFormat="1"/>
    <xf numFmtId="167" fontId="0" fillId="0" borderId="0" xfId="0" applyNumberFormat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textRotation="90"/>
    </xf>
    <xf numFmtId="168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587374</xdr:colOff>
      <xdr:row>28</xdr:row>
      <xdr:rowOff>31750</xdr:rowOff>
    </xdr:from>
    <xdr:to>
      <xdr:col>8</xdr:col>
      <xdr:colOff>650377</xdr:colOff>
      <xdr:row>35</xdr:row>
      <xdr:rowOff>63500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374" y="7921625"/>
          <a:ext cx="5397003" cy="136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8"/>
  <sheetViews>
    <sheetView topLeftCell="A28" workbookViewId="0">
      <selection activeCell="A33" sqref="A33"/>
    </sheetView>
  </sheetViews>
  <sheetFormatPr baseColWidth="10" defaultRowHeight="15" x14ac:dyDescent="0.25"/>
  <cols>
    <col min="1" max="1" width="12.140625" customWidth="1"/>
    <col min="2" max="2" width="10.5703125" customWidth="1"/>
    <col min="3" max="3" width="6.85546875" customWidth="1"/>
    <col min="4" max="4" width="10.5703125" customWidth="1"/>
    <col min="5" max="5" width="16.28515625" customWidth="1"/>
    <col min="6" max="6" width="9.28515625" customWidth="1"/>
    <col min="7" max="7" width="8.28515625" customWidth="1"/>
    <col min="8" max="8" width="7.140625" customWidth="1"/>
    <col min="9" max="9" width="6.28515625" customWidth="1"/>
    <col min="10" max="10" width="8.42578125" customWidth="1"/>
    <col min="11" max="11" width="7.42578125" customWidth="1"/>
    <col min="12" max="12" width="7.5703125" customWidth="1"/>
    <col min="13" max="13" width="6.85546875" customWidth="1"/>
    <col min="14" max="14" width="9.28515625" customWidth="1"/>
    <col min="15" max="15" width="8.28515625" customWidth="1"/>
  </cols>
  <sheetData>
    <row r="4" spans="1:15" ht="87" customHeight="1" x14ac:dyDescent="0.25">
      <c r="A4" s="10" t="s">
        <v>0</v>
      </c>
      <c r="B4" s="12" t="s">
        <v>202</v>
      </c>
      <c r="D4" s="12" t="s">
        <v>203</v>
      </c>
      <c r="F4" s="12" t="s">
        <v>204</v>
      </c>
      <c r="H4" s="13" t="s">
        <v>205</v>
      </c>
      <c r="J4" s="12" t="s">
        <v>206</v>
      </c>
      <c r="L4" s="12" t="s">
        <v>207</v>
      </c>
      <c r="N4" s="12" t="s">
        <v>208</v>
      </c>
    </row>
    <row r="5" spans="1:15" ht="32.25" customHeight="1" x14ac:dyDescent="0.25">
      <c r="A5" s="11" t="s">
        <v>225</v>
      </c>
      <c r="B5">
        <v>435.86599999999999</v>
      </c>
      <c r="C5">
        <v>400</v>
      </c>
      <c r="D5">
        <v>0.35701899999999998</v>
      </c>
      <c r="E5">
        <v>0.3</v>
      </c>
      <c r="F5">
        <v>477.745</v>
      </c>
      <c r="G5">
        <v>400</v>
      </c>
      <c r="H5">
        <v>7.8</v>
      </c>
      <c r="I5">
        <v>7.7</v>
      </c>
      <c r="J5">
        <v>0.28999999999999998</v>
      </c>
      <c r="K5">
        <v>0.28999999999999998</v>
      </c>
      <c r="L5">
        <v>200</v>
      </c>
      <c r="M5">
        <v>199</v>
      </c>
      <c r="N5">
        <v>322</v>
      </c>
      <c r="O5">
        <v>300</v>
      </c>
    </row>
    <row r="6" spans="1:15" ht="23.25" customHeight="1" x14ac:dyDescent="0.25">
      <c r="A6" s="11" t="s">
        <v>226</v>
      </c>
      <c r="B6">
        <v>275</v>
      </c>
      <c r="C6">
        <v>250</v>
      </c>
      <c r="D6">
        <v>0.348001</v>
      </c>
      <c r="E6">
        <v>0.3</v>
      </c>
      <c r="F6">
        <v>520.25099999999998</v>
      </c>
      <c r="G6">
        <v>450</v>
      </c>
      <c r="H6">
        <v>7.8</v>
      </c>
      <c r="I6">
        <v>7.7</v>
      </c>
      <c r="J6">
        <v>0.28999999999999998</v>
      </c>
      <c r="K6">
        <v>0.28999999999999998</v>
      </c>
      <c r="L6">
        <v>200</v>
      </c>
      <c r="M6">
        <v>199</v>
      </c>
      <c r="N6">
        <v>270</v>
      </c>
      <c r="O6">
        <v>250</v>
      </c>
    </row>
    <row r="7" spans="1:15" ht="15.75" customHeight="1" x14ac:dyDescent="0.25">
      <c r="A7" s="11" t="s">
        <v>198</v>
      </c>
      <c r="B7">
        <v>50</v>
      </c>
      <c r="C7">
        <v>40</v>
      </c>
      <c r="D7">
        <v>2.3001000000000001E-2</v>
      </c>
      <c r="E7">
        <v>0.02</v>
      </c>
      <c r="F7">
        <v>871.70299999999997</v>
      </c>
      <c r="G7">
        <v>800</v>
      </c>
      <c r="H7">
        <v>4.4400000000000004</v>
      </c>
      <c r="I7">
        <v>4.4000000000000004</v>
      </c>
      <c r="J7">
        <v>0.1</v>
      </c>
      <c r="K7">
        <v>0.1</v>
      </c>
      <c r="L7">
        <v>90</v>
      </c>
      <c r="M7">
        <v>89</v>
      </c>
      <c r="N7">
        <v>60</v>
      </c>
      <c r="O7">
        <v>50</v>
      </c>
    </row>
    <row r="8" spans="1:15" x14ac:dyDescent="0.25">
      <c r="A8" s="11" t="s">
        <v>199</v>
      </c>
      <c r="B8">
        <v>600</v>
      </c>
      <c r="C8">
        <v>550</v>
      </c>
      <c r="D8">
        <v>0.85001000000000004</v>
      </c>
      <c r="E8">
        <v>0.8</v>
      </c>
      <c r="F8">
        <v>504.82900000000001</v>
      </c>
      <c r="G8">
        <v>450</v>
      </c>
      <c r="H8">
        <v>7.85</v>
      </c>
      <c r="I8">
        <v>7.8</v>
      </c>
      <c r="J8">
        <v>0.28999999999999998</v>
      </c>
      <c r="K8">
        <v>0.28999999999999998</v>
      </c>
      <c r="L8">
        <v>200</v>
      </c>
      <c r="M8">
        <v>199</v>
      </c>
      <c r="N8">
        <v>675</v>
      </c>
      <c r="O8">
        <v>600</v>
      </c>
    </row>
    <row r="9" spans="1:15" x14ac:dyDescent="0.25">
      <c r="A9" s="11" t="s">
        <v>200</v>
      </c>
      <c r="B9">
        <v>550</v>
      </c>
      <c r="C9">
        <v>500</v>
      </c>
      <c r="D9">
        <v>0.35650700000000002</v>
      </c>
      <c r="E9">
        <v>0.3</v>
      </c>
      <c r="F9">
        <v>575.98099999999999</v>
      </c>
      <c r="G9">
        <v>520</v>
      </c>
      <c r="H9">
        <v>7.87</v>
      </c>
      <c r="I9">
        <v>7.8</v>
      </c>
      <c r="J9">
        <v>0.28999999999999998</v>
      </c>
      <c r="K9">
        <v>0.28999999999999998</v>
      </c>
      <c r="L9">
        <v>200</v>
      </c>
      <c r="M9">
        <v>199</v>
      </c>
      <c r="N9">
        <v>420</v>
      </c>
      <c r="O9">
        <v>350</v>
      </c>
    </row>
    <row r="10" spans="1:15" ht="24" customHeight="1" x14ac:dyDescent="0.25">
      <c r="A10" s="11" t="s">
        <v>210</v>
      </c>
      <c r="B10">
        <v>410.98599999999999</v>
      </c>
      <c r="C10">
        <v>350</v>
      </c>
      <c r="D10">
        <v>0.48099999999999998</v>
      </c>
      <c r="E10">
        <v>0.4</v>
      </c>
      <c r="F10">
        <v>530.19299999999998</v>
      </c>
      <c r="G10">
        <v>450</v>
      </c>
      <c r="H10">
        <v>7.8719999999999999</v>
      </c>
      <c r="I10">
        <v>7.8</v>
      </c>
      <c r="J10">
        <v>0.28999999999999998</v>
      </c>
      <c r="K10">
        <v>0.28999999999999998</v>
      </c>
      <c r="L10">
        <v>200</v>
      </c>
      <c r="M10">
        <v>199</v>
      </c>
      <c r="N10">
        <v>330</v>
      </c>
      <c r="O10">
        <v>250</v>
      </c>
    </row>
    <row r="14" spans="1:15" x14ac:dyDescent="0.25">
      <c r="A14" t="s">
        <v>212</v>
      </c>
      <c r="B14">
        <f>SUM(B5:B13)</f>
        <v>2321.8519999999999</v>
      </c>
      <c r="C14">
        <f>SUM(C5:C13)</f>
        <v>2090</v>
      </c>
      <c r="D14">
        <f t="shared" ref="D14:K14" si="0">SUM(D5:D13)</f>
        <v>2.4155380000000002</v>
      </c>
      <c r="E14">
        <f t="shared" si="0"/>
        <v>2.12</v>
      </c>
      <c r="F14">
        <f t="shared" si="0"/>
        <v>3480.7020000000002</v>
      </c>
      <c r="G14">
        <f>SUM(G5:G13)</f>
        <v>3070</v>
      </c>
      <c r="H14">
        <f t="shared" si="0"/>
        <v>43.631999999999998</v>
      </c>
      <c r="I14">
        <f>SUM(I5:I13)</f>
        <v>43.199999999999996</v>
      </c>
      <c r="J14">
        <f t="shared" si="0"/>
        <v>1.55</v>
      </c>
      <c r="K14">
        <f t="shared" si="0"/>
        <v>1.55</v>
      </c>
      <c r="L14">
        <f t="shared" ref="L14:O14" si="1">SUM(L5:L13)</f>
        <v>1090</v>
      </c>
      <c r="M14">
        <f t="shared" si="1"/>
        <v>1084</v>
      </c>
      <c r="N14">
        <f t="shared" si="1"/>
        <v>2077</v>
      </c>
      <c r="O14">
        <f t="shared" si="1"/>
        <v>1800</v>
      </c>
    </row>
    <row r="15" spans="1:15" hidden="1" x14ac:dyDescent="0.25">
      <c r="B15">
        <v>0.17199999999999999</v>
      </c>
      <c r="C15">
        <v>0.17199999999999999</v>
      </c>
      <c r="D15">
        <v>5.0000000000000001E-3</v>
      </c>
      <c r="E15">
        <v>5.0000000000000001E-3</v>
      </c>
      <c r="F15">
        <v>0.42599999999999999</v>
      </c>
      <c r="G15">
        <v>0.42599999999999999</v>
      </c>
      <c r="H15">
        <v>0.29199999999999998</v>
      </c>
      <c r="I15">
        <v>0.29199999999999998</v>
      </c>
      <c r="J15">
        <v>0.10199999999999999</v>
      </c>
      <c r="K15">
        <v>0.10199999999999999</v>
      </c>
      <c r="L15">
        <v>0.10199999999999999</v>
      </c>
      <c r="M15">
        <v>0.10199999999999999</v>
      </c>
      <c r="N15">
        <v>0.10199999999999999</v>
      </c>
      <c r="O15">
        <v>0.10199999999999999</v>
      </c>
    </row>
    <row r="16" spans="1:15" x14ac:dyDescent="0.25">
      <c r="A16" t="s">
        <v>7</v>
      </c>
      <c r="B16" s="1">
        <f>(2*B5)/(B14+C14)</f>
        <v>0.19758867704537686</v>
      </c>
      <c r="C16" s="1">
        <f>(2*C5)/(B14+C14)</f>
        <v>0.18132974542210392</v>
      </c>
      <c r="D16" s="1">
        <f>(2*D5)/(D14+E14)</f>
        <v>0.15743181955481353</v>
      </c>
      <c r="E16" s="1">
        <f>(2*E5)/(D14+E14)</f>
        <v>0.13228860611464394</v>
      </c>
      <c r="F16" s="1">
        <f>(2*F5)/(F14+G14)</f>
        <v>0.14586070317349192</v>
      </c>
      <c r="G16" s="1">
        <f>(2*G5)/(F14+G14)</f>
        <v>0.12212431583668437</v>
      </c>
      <c r="H16" s="1">
        <f>(2*H5)/(H14+I14)</f>
        <v>0.17965726920950803</v>
      </c>
      <c r="I16" s="1">
        <f>(2*I5)/(H14+I14)</f>
        <v>0.17735397088630922</v>
      </c>
      <c r="J16" s="1">
        <f>(2*J5)/(J14+K14)</f>
        <v>0.18709677419354837</v>
      </c>
      <c r="K16" s="1">
        <f>(2*K5)/(J14+K14)</f>
        <v>0.18709677419354837</v>
      </c>
      <c r="L16" s="1">
        <f>(2*L5)/(L14+M14)</f>
        <v>0.18399264029438822</v>
      </c>
      <c r="M16" s="1">
        <f>(2*M5)/(L14+M14)</f>
        <v>0.18307267709291627</v>
      </c>
      <c r="N16" s="1">
        <f>(2*N5)/(N14+O14)</f>
        <v>0.16610781532112459</v>
      </c>
      <c r="O16" s="1">
        <f>(2*O5)/(N14+O14)</f>
        <v>0.15475883415011607</v>
      </c>
    </row>
    <row r="17" spans="1:15" x14ac:dyDescent="0.25">
      <c r="A17" t="s">
        <v>8</v>
      </c>
      <c r="B17" s="1">
        <f>(2*B6)/(B14+C14)</f>
        <v>0.12466419997769644</v>
      </c>
      <c r="C17" s="1">
        <f>(2*C6)/(B14+C14)</f>
        <v>0.11333109088881495</v>
      </c>
      <c r="D17" s="1">
        <f>(2*D6)/(D14+E14)</f>
        <v>0.15345522405500733</v>
      </c>
      <c r="E17" s="1">
        <f>(2*E6)/(D14+E14)</f>
        <v>0.13228860611464394</v>
      </c>
      <c r="F17" s="1">
        <f>(2*F6)/(F14+G14)</f>
        <v>0.1588382435958772</v>
      </c>
      <c r="G17" s="1">
        <f>(2*G6)/(F14+G14)</f>
        <v>0.1373898553162699</v>
      </c>
      <c r="H17" s="1">
        <f>(2*H6)/(H14+I14)</f>
        <v>0.17965726920950803</v>
      </c>
      <c r="I17" s="1">
        <f>(2*I6)/(H14+I14)</f>
        <v>0.17735397088630922</v>
      </c>
      <c r="J17" s="1">
        <f>(2*J6)/(J14+K14)</f>
        <v>0.18709677419354837</v>
      </c>
      <c r="K17" s="1">
        <f>(2*K6)/(J14+K14)</f>
        <v>0.18709677419354837</v>
      </c>
      <c r="L17" s="1">
        <f>(2*L6)/(L14+M14)</f>
        <v>0.18399264029438822</v>
      </c>
      <c r="M17" s="1">
        <f>(2*M6)/(L14+M14)</f>
        <v>0.18307267709291627</v>
      </c>
      <c r="N17" s="1">
        <f>(2*N6)/(N14+O14)</f>
        <v>0.13928295073510447</v>
      </c>
      <c r="O17" s="1">
        <f>(2*O6)/(N14+O14)</f>
        <v>0.12896569512509673</v>
      </c>
    </row>
    <row r="18" spans="1:15" x14ac:dyDescent="0.25">
      <c r="A18" t="s">
        <v>9</v>
      </c>
      <c r="B18" s="1">
        <f>(2*B7)/(B14+C14)</f>
        <v>2.266621817776299E-2</v>
      </c>
      <c r="C18" s="1">
        <f>(2*C7)/(B14+C14)</f>
        <v>1.8132974542210391E-2</v>
      </c>
      <c r="D18" s="1">
        <f>(2*D7)/(D14+E14)</f>
        <v>1.0142567430809751E-2</v>
      </c>
      <c r="E18" s="1">
        <f>(2*E7)/(D14+E14)</f>
        <v>8.8192404076429289E-3</v>
      </c>
      <c r="F18" s="1">
        <f>(2*F7)/(F14+G14)</f>
        <v>0.26614033121946318</v>
      </c>
      <c r="G18" s="1">
        <f>(2*G7)/(F14+G14)</f>
        <v>0.24424863167336874</v>
      </c>
      <c r="H18" s="1">
        <f>(2*H7)/(H14+I14)</f>
        <v>0.10226644555002766</v>
      </c>
      <c r="I18" s="1">
        <f>(2*I7)/(H14+I14)</f>
        <v>0.10134512622074812</v>
      </c>
      <c r="J18" s="1">
        <f>(2*J7)/(J14+K14)</f>
        <v>6.4516129032258063E-2</v>
      </c>
      <c r="K18" s="1">
        <f>(2*K7)/(J14+K14)</f>
        <v>6.4516129032258063E-2</v>
      </c>
      <c r="L18" s="1">
        <f>(2*L7)/(L14+M14)</f>
        <v>8.2796688132474705E-2</v>
      </c>
      <c r="M18" s="1">
        <f>(2*M7)/(L14+M14)</f>
        <v>8.1876724931002759E-2</v>
      </c>
      <c r="N18" s="1">
        <f>(2*N7)/(N14+O14)</f>
        <v>3.0951766830023215E-2</v>
      </c>
      <c r="O18" s="1">
        <f>(2*O7)/(N14+O14)</f>
        <v>2.5793139025019344E-2</v>
      </c>
    </row>
    <row r="19" spans="1:15" x14ac:dyDescent="0.25">
      <c r="A19" t="s">
        <v>10</v>
      </c>
      <c r="B19" s="1">
        <f>(2*B8)/(B14+C14)</f>
        <v>0.2719946181331559</v>
      </c>
      <c r="C19" s="1">
        <f>(2*C8)/(B14+C14)</f>
        <v>0.24932839995539288</v>
      </c>
      <c r="D19" s="1">
        <f>(2*D8)/(D14+E14)</f>
        <v>0.37482212694502831</v>
      </c>
      <c r="E19" s="1">
        <f>(2*E8)/(D14+E14)</f>
        <v>0.35276961630571718</v>
      </c>
      <c r="F19" s="1">
        <f>(2*F8)/(F14+G14)</f>
        <v>0.15412974059879384</v>
      </c>
      <c r="G19" s="1">
        <f>(2*G8)/(F14+G14)</f>
        <v>0.1373898553162699</v>
      </c>
      <c r="H19" s="1">
        <f>(2*H8)/(H14+I14)</f>
        <v>0.18080891837110744</v>
      </c>
      <c r="I19" s="1">
        <f>(2*I8)/(H14+I14)</f>
        <v>0.17965726920950803</v>
      </c>
      <c r="J19" s="1">
        <f>(2*J8)/(J14+K14)</f>
        <v>0.18709677419354837</v>
      </c>
      <c r="K19" s="1">
        <f>(2*K8)/(J14+K14)</f>
        <v>0.18709677419354837</v>
      </c>
      <c r="L19" s="1">
        <f>(2*L8)/(L14+M14)</f>
        <v>0.18399264029438822</v>
      </c>
      <c r="M19" s="1">
        <f>(2*M8)/(L14+M14)</f>
        <v>0.18307267709291627</v>
      </c>
      <c r="N19" s="1">
        <f>(2*N8)/(N14+O14)</f>
        <v>0.34820737683776115</v>
      </c>
      <c r="O19" s="1">
        <f>(2*O8)/(N14+O14)</f>
        <v>0.30951766830023214</v>
      </c>
    </row>
    <row r="20" spans="1:15" x14ac:dyDescent="0.25">
      <c r="A20" t="s">
        <v>11</v>
      </c>
      <c r="B20" s="1">
        <f>(2*B9)/(B14+C14)</f>
        <v>0.24932839995539288</v>
      </c>
      <c r="C20" s="1">
        <f>(2*C9)/(B14+C14)</f>
        <v>0.2266621817776299</v>
      </c>
      <c r="D20" s="1">
        <f>(2*D9)/(D14+E14)</f>
        <v>0.15720604700037788</v>
      </c>
      <c r="E20" s="1">
        <f>(2*E9)/(D14+E14)</f>
        <v>0.13228860611464394</v>
      </c>
      <c r="F20" s="1">
        <f>(2*F9)/(F14+G14)</f>
        <v>0.17585321389982325</v>
      </c>
      <c r="G20" s="1">
        <f>(2*G9)/(F14+G14)</f>
        <v>0.15876161058768967</v>
      </c>
      <c r="H20" s="1">
        <f>(2*H9)/(H14+I14)</f>
        <v>0.1812695780357472</v>
      </c>
      <c r="I20" s="1">
        <f>(2*I9)/(H14+I14)</f>
        <v>0.17965726920950803</v>
      </c>
      <c r="J20" s="1">
        <f>(2*J9)/(J14+K14)</f>
        <v>0.18709677419354837</v>
      </c>
      <c r="K20" s="1">
        <f>(2*K9)/(J14+K14)</f>
        <v>0.18709677419354837</v>
      </c>
      <c r="L20" s="1">
        <f>(2*L9)/(L14+M14)</f>
        <v>0.18399264029438822</v>
      </c>
      <c r="M20" s="1">
        <f>(2*M9)/(L14+M14)</f>
        <v>0.18307267709291627</v>
      </c>
      <c r="N20" s="1">
        <f>(2*N9)/(N14+O14)</f>
        <v>0.21666236781016249</v>
      </c>
      <c r="O20" s="1">
        <f>(2*O9)/(N14+O14)</f>
        <v>0.18055197317513541</v>
      </c>
    </row>
    <row r="21" spans="1:15" x14ac:dyDescent="0.25">
      <c r="A21" t="s">
        <v>12</v>
      </c>
      <c r="B21" s="1">
        <f>(2*B10)/(B14+C14)</f>
        <v>0.186309966880122</v>
      </c>
      <c r="C21" s="1">
        <f>(2*C10)/(B14+C14)</f>
        <v>0.15866352724434094</v>
      </c>
      <c r="D21" s="1">
        <f>(2*D10)/(D14+E14)</f>
        <v>0.21210273180381242</v>
      </c>
      <c r="E21" s="1">
        <f>(2*E10)/(D14+E14)</f>
        <v>0.17638480815285859</v>
      </c>
      <c r="F21" s="1">
        <f>(2*F10)/(F14+G14)</f>
        <v>0.16187364346599797</v>
      </c>
      <c r="G21" s="1">
        <f>(2*G10)/(F14+G14)</f>
        <v>0.1373898553162699</v>
      </c>
      <c r="H21" s="1">
        <f>(2*H10)/(H14+I14)</f>
        <v>0.18131564400221117</v>
      </c>
      <c r="I21" s="1">
        <f>(2*I10)/(H14+I14)</f>
        <v>0.17965726920950803</v>
      </c>
      <c r="J21" s="1">
        <f>(2*J10)/(J14+K14)</f>
        <v>0.18709677419354837</v>
      </c>
      <c r="K21" s="1">
        <f>(2*K10)/(J14+K14)</f>
        <v>0.18709677419354837</v>
      </c>
      <c r="L21" s="1">
        <f>(2*L10)/(L14+M14)</f>
        <v>0.18399264029438822</v>
      </c>
      <c r="M21" s="1">
        <f>(2*M10)/(L14+M14)</f>
        <v>0.18307267709291627</v>
      </c>
      <c r="N21" s="1">
        <f>(2*N10)/(N14+O14)</f>
        <v>0.17023471756512767</v>
      </c>
      <c r="O21" s="1">
        <f>(2*O10)/(N14+O14)</f>
        <v>0.12896569512509673</v>
      </c>
    </row>
    <row r="22" spans="1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t="s">
        <v>2</v>
      </c>
      <c r="B24" s="1">
        <f t="shared" ref="B24:O24" si="2">B16*B15</f>
        <v>3.3985252451804816E-2</v>
      </c>
      <c r="C24" s="1">
        <f t="shared" si="2"/>
        <v>3.1188716212601872E-2</v>
      </c>
      <c r="D24" s="1">
        <f t="shared" si="2"/>
        <v>7.8715909777406765E-4</v>
      </c>
      <c r="E24" s="1">
        <f t="shared" si="2"/>
        <v>6.6144303057321969E-4</v>
      </c>
      <c r="F24" s="1">
        <f t="shared" si="2"/>
        <v>6.2136659551907558E-2</v>
      </c>
      <c r="G24" s="1">
        <f t="shared" si="2"/>
        <v>5.2024958546427538E-2</v>
      </c>
      <c r="H24" s="1">
        <f t="shared" si="2"/>
        <v>5.245992260917634E-2</v>
      </c>
      <c r="I24" s="1">
        <f t="shared" si="2"/>
        <v>5.1787359498802289E-2</v>
      </c>
      <c r="J24" s="1">
        <f t="shared" si="2"/>
        <v>1.9083870967741931E-2</v>
      </c>
      <c r="K24" s="1">
        <f t="shared" si="2"/>
        <v>1.9083870967741931E-2</v>
      </c>
      <c r="L24" s="1">
        <f t="shared" si="2"/>
        <v>1.8767249310027597E-2</v>
      </c>
      <c r="M24" s="1">
        <f t="shared" si="2"/>
        <v>1.8673413063477459E-2</v>
      </c>
      <c r="N24" s="1">
        <f t="shared" si="2"/>
        <v>1.6942997162754707E-2</v>
      </c>
      <c r="O24" s="1">
        <f t="shared" si="2"/>
        <v>1.5785401083311838E-2</v>
      </c>
    </row>
    <row r="25" spans="1:15" x14ac:dyDescent="0.25">
      <c r="A25" t="s">
        <v>13</v>
      </c>
      <c r="B25" s="1">
        <f t="shared" ref="B25:O25" si="3">B17*B15</f>
        <v>2.1442242396163786E-2</v>
      </c>
      <c r="C25" s="1">
        <f t="shared" si="3"/>
        <v>1.9492947632876168E-2</v>
      </c>
      <c r="D25" s="1">
        <f t="shared" si="3"/>
        <v>7.6727612027503668E-4</v>
      </c>
      <c r="E25" s="1">
        <f t="shared" si="3"/>
        <v>6.6144303057321969E-4</v>
      </c>
      <c r="F25" s="1">
        <f t="shared" si="3"/>
        <v>6.7665091771843683E-2</v>
      </c>
      <c r="G25" s="1">
        <f t="shared" si="3"/>
        <v>5.8528078364730979E-2</v>
      </c>
      <c r="H25" s="1">
        <f t="shared" si="3"/>
        <v>5.245992260917634E-2</v>
      </c>
      <c r="I25" s="1">
        <f t="shared" si="3"/>
        <v>5.1787359498802289E-2</v>
      </c>
      <c r="J25" s="1">
        <f t="shared" si="3"/>
        <v>1.9083870967741931E-2</v>
      </c>
      <c r="K25" s="1">
        <f t="shared" si="3"/>
        <v>1.9083870967741931E-2</v>
      </c>
      <c r="L25" s="1">
        <f t="shared" si="3"/>
        <v>1.8767249310027597E-2</v>
      </c>
      <c r="M25" s="1">
        <f t="shared" si="3"/>
        <v>1.8673413063477459E-2</v>
      </c>
      <c r="N25" s="1">
        <f t="shared" si="3"/>
        <v>1.4206860974980655E-2</v>
      </c>
      <c r="O25" s="1">
        <f t="shared" si="3"/>
        <v>1.3154500902759866E-2</v>
      </c>
    </row>
    <row r="26" spans="1:15" x14ac:dyDescent="0.25">
      <c r="A26" t="s">
        <v>14</v>
      </c>
      <c r="B26" s="1">
        <f t="shared" ref="B26:O26" si="4">B18*B15</f>
        <v>3.898589526575234E-3</v>
      </c>
      <c r="C26" s="1">
        <f t="shared" si="4"/>
        <v>3.118871621260187E-3</v>
      </c>
      <c r="D26" s="1">
        <f t="shared" si="4"/>
        <v>5.0712837154048752E-5</v>
      </c>
      <c r="E26" s="1">
        <f t="shared" si="4"/>
        <v>4.4096202038214642E-5</v>
      </c>
      <c r="F26" s="1">
        <f t="shared" si="4"/>
        <v>0.11337578109949131</v>
      </c>
      <c r="G26" s="1">
        <f t="shared" si="4"/>
        <v>0.10404991709285508</v>
      </c>
      <c r="H26" s="1">
        <f t="shared" si="4"/>
        <v>2.9861802100608074E-2</v>
      </c>
      <c r="I26" s="1">
        <f t="shared" si="4"/>
        <v>2.959277685645845E-2</v>
      </c>
      <c r="J26" s="1">
        <f t="shared" si="4"/>
        <v>6.5806451612903218E-3</v>
      </c>
      <c r="K26" s="1">
        <f t="shared" si="4"/>
        <v>6.5806451612903218E-3</v>
      </c>
      <c r="L26" s="1">
        <f t="shared" si="4"/>
        <v>8.4452621895124199E-3</v>
      </c>
      <c r="M26" s="1">
        <f t="shared" si="4"/>
        <v>8.3514259429622803E-3</v>
      </c>
      <c r="N26" s="1">
        <f t="shared" si="4"/>
        <v>3.1570802166623678E-3</v>
      </c>
      <c r="O26" s="1">
        <f t="shared" si="4"/>
        <v>2.6309001805519729E-3</v>
      </c>
    </row>
    <row r="27" spans="1:15" x14ac:dyDescent="0.25">
      <c r="A27" t="s">
        <v>15</v>
      </c>
      <c r="B27" s="1">
        <f t="shared" ref="B27:O27" si="5">B19*B15</f>
        <v>4.6783074318902808E-2</v>
      </c>
      <c r="C27" s="1">
        <f t="shared" si="5"/>
        <v>4.2884484792327572E-2</v>
      </c>
      <c r="D27" s="1">
        <f t="shared" si="5"/>
        <v>1.8741106347251416E-3</v>
      </c>
      <c r="E27" s="1">
        <f t="shared" si="5"/>
        <v>1.7638480815285859E-3</v>
      </c>
      <c r="F27" s="1">
        <f t="shared" si="5"/>
        <v>6.5659269495086173E-2</v>
      </c>
      <c r="G27" s="1">
        <f t="shared" si="5"/>
        <v>5.8528078364730979E-2</v>
      </c>
      <c r="H27" s="1">
        <f t="shared" si="5"/>
        <v>5.2796204164363369E-2</v>
      </c>
      <c r="I27" s="1">
        <f t="shared" si="5"/>
        <v>5.245992260917634E-2</v>
      </c>
      <c r="J27" s="1">
        <f t="shared" si="5"/>
        <v>1.9083870967741931E-2</v>
      </c>
      <c r="K27" s="1">
        <f t="shared" si="5"/>
        <v>1.9083870967741931E-2</v>
      </c>
      <c r="L27" s="1">
        <f t="shared" si="5"/>
        <v>1.8767249310027597E-2</v>
      </c>
      <c r="M27" s="1">
        <f t="shared" si="5"/>
        <v>1.8673413063477459E-2</v>
      </c>
      <c r="N27" s="1">
        <f t="shared" si="5"/>
        <v>3.5517152437451634E-2</v>
      </c>
      <c r="O27" s="1">
        <f t="shared" si="5"/>
        <v>3.1570802166623675E-2</v>
      </c>
    </row>
    <row r="28" spans="1:15" x14ac:dyDescent="0.25">
      <c r="A28" t="s">
        <v>16</v>
      </c>
      <c r="B28" s="1">
        <f t="shared" ref="B28:O28" si="6">B20*B15</f>
        <v>4.2884484792327572E-2</v>
      </c>
      <c r="C28" s="1">
        <f t="shared" si="6"/>
        <v>3.8985895265752336E-2</v>
      </c>
      <c r="D28" s="1">
        <f t="shared" si="6"/>
        <v>7.8603023500188943E-4</v>
      </c>
      <c r="E28" s="1">
        <f t="shared" si="6"/>
        <v>6.6144303057321969E-4</v>
      </c>
      <c r="F28" s="1">
        <f t="shared" si="6"/>
        <v>7.4913469121324697E-2</v>
      </c>
      <c r="G28" s="1">
        <f t="shared" si="6"/>
        <v>6.7632446110355793E-2</v>
      </c>
      <c r="H28" s="1">
        <f t="shared" si="6"/>
        <v>5.2930716786438181E-2</v>
      </c>
      <c r="I28" s="1">
        <f t="shared" si="6"/>
        <v>5.245992260917634E-2</v>
      </c>
      <c r="J28" s="1">
        <f t="shared" si="6"/>
        <v>1.9083870967741931E-2</v>
      </c>
      <c r="K28" s="1">
        <f t="shared" si="6"/>
        <v>1.9083870967741931E-2</v>
      </c>
      <c r="L28" s="1">
        <f t="shared" si="6"/>
        <v>1.8767249310027597E-2</v>
      </c>
      <c r="M28" s="1">
        <f t="shared" si="6"/>
        <v>1.8673413063477459E-2</v>
      </c>
      <c r="N28" s="1">
        <f t="shared" si="6"/>
        <v>2.2099561516636574E-2</v>
      </c>
      <c r="O28" s="1">
        <f t="shared" si="6"/>
        <v>1.8416301263863812E-2</v>
      </c>
    </row>
    <row r="29" spans="1:15" x14ac:dyDescent="0.25">
      <c r="A29" t="s">
        <v>17</v>
      </c>
      <c r="B29" s="1">
        <f t="shared" ref="B29:O29" si="7">B21*B15</f>
        <v>3.2045314303380978E-2</v>
      </c>
      <c r="C29" s="1">
        <f t="shared" si="7"/>
        <v>2.729012668602664E-2</v>
      </c>
      <c r="D29" s="1">
        <f t="shared" si="7"/>
        <v>1.0605136590190621E-3</v>
      </c>
      <c r="E29" s="1">
        <f t="shared" si="7"/>
        <v>8.8192404076429295E-4</v>
      </c>
      <c r="F29" s="1">
        <f t="shared" si="7"/>
        <v>6.8958172116515129E-2</v>
      </c>
      <c r="G29" s="1">
        <f t="shared" si="7"/>
        <v>5.8528078364730979E-2</v>
      </c>
      <c r="H29" s="1">
        <f t="shared" si="7"/>
        <v>5.2944168048645657E-2</v>
      </c>
      <c r="I29" s="1">
        <f t="shared" si="7"/>
        <v>5.245992260917634E-2</v>
      </c>
      <c r="J29" s="1">
        <f t="shared" si="7"/>
        <v>1.9083870967741931E-2</v>
      </c>
      <c r="K29" s="1">
        <f t="shared" si="7"/>
        <v>1.9083870967741931E-2</v>
      </c>
      <c r="L29" s="1">
        <f t="shared" si="7"/>
        <v>1.8767249310027597E-2</v>
      </c>
      <c r="M29" s="1">
        <f t="shared" si="7"/>
        <v>1.8673413063477459E-2</v>
      </c>
      <c r="N29" s="1">
        <f t="shared" si="7"/>
        <v>1.7363941191643022E-2</v>
      </c>
      <c r="O29" s="1">
        <f t="shared" si="7"/>
        <v>1.3154500902759866E-2</v>
      </c>
    </row>
    <row r="31" spans="1:15" ht="30" x14ac:dyDescent="0.25">
      <c r="A31" t="s">
        <v>0</v>
      </c>
      <c r="B31" t="s">
        <v>18</v>
      </c>
      <c r="C31" s="2" t="s">
        <v>19</v>
      </c>
      <c r="D31" t="s">
        <v>20</v>
      </c>
      <c r="E31" s="11" t="s">
        <v>211</v>
      </c>
      <c r="F31" t="s">
        <v>213</v>
      </c>
    </row>
    <row r="32" spans="1:15" ht="45" x14ac:dyDescent="0.25">
      <c r="A32" s="11" t="s">
        <v>225</v>
      </c>
      <c r="B32" s="1">
        <f>0.5*(SUM(B24:O24))-C32</f>
        <v>0.19628413677706158</v>
      </c>
      <c r="C32" s="1">
        <v>4.0000000000000002E-4</v>
      </c>
      <c r="D32" s="1">
        <f>B32+((C32*C32)/(C32*(C32/C32)))</f>
        <v>0.19668413677706159</v>
      </c>
      <c r="E32" s="1">
        <f>D32/D37*100</f>
        <v>98.269578303141202</v>
      </c>
      <c r="F32" s="1">
        <v>3</v>
      </c>
    </row>
    <row r="33" spans="1:6" x14ac:dyDescent="0.25">
      <c r="A33" s="11" t="s">
        <v>226</v>
      </c>
      <c r="B33" s="1">
        <f t="shared" ref="B33:B36" si="8">0.5*(SUM(B25:O25))-C33</f>
        <v>0.18738706380558551</v>
      </c>
      <c r="C33" s="1">
        <v>5.0000000000000001E-4</v>
      </c>
      <c r="D33" s="1">
        <f>B33+((C32*C33)/(C33*(C32/C33)))</f>
        <v>0.18788706380558551</v>
      </c>
      <c r="E33" s="1">
        <f>D33/D37*100</f>
        <v>93.874284074665653</v>
      </c>
      <c r="F33" s="1">
        <v>2</v>
      </c>
    </row>
    <row r="34" spans="1:6" ht="45" x14ac:dyDescent="0.25">
      <c r="A34" s="11" t="s">
        <v>198</v>
      </c>
      <c r="B34" s="1">
        <f t="shared" si="8"/>
        <v>0.15936925309435512</v>
      </c>
      <c r="C34" s="1">
        <v>5.0000000000000001E-4</v>
      </c>
      <c r="D34" s="1">
        <f>B34+((C32*C34)/(C34*(C32/C34)))</f>
        <v>0.15986925309435512</v>
      </c>
      <c r="E34" s="1">
        <f>D34/D37*100</f>
        <v>79.875704988998635</v>
      </c>
      <c r="F34" s="1">
        <v>1</v>
      </c>
    </row>
    <row r="35" spans="1:6" x14ac:dyDescent="0.25">
      <c r="A35" s="11" t="s">
        <v>199</v>
      </c>
      <c r="B35" s="1">
        <f t="shared" si="8"/>
        <v>0.23212267568695263</v>
      </c>
      <c r="C35" s="1">
        <v>5.9999999999999995E-4</v>
      </c>
      <c r="D35" s="1">
        <f>B35+((C32*C35)/(C35*(C32/C35)))</f>
        <v>0.23272267568695262</v>
      </c>
      <c r="E35" s="1">
        <f>D35/D37*100</f>
        <v>116.27556536121577</v>
      </c>
      <c r="F35" s="1">
        <v>6</v>
      </c>
    </row>
    <row r="36" spans="1:6" x14ac:dyDescent="0.25">
      <c r="A36" s="11" t="s">
        <v>200</v>
      </c>
      <c r="B36" s="1">
        <f t="shared" si="8"/>
        <v>0.2230893375202197</v>
      </c>
      <c r="C36" s="1">
        <v>5.9999999999999995E-4</v>
      </c>
      <c r="D36" s="1">
        <f>B36++((C32*C36)/(C36*(C32/C36)))</f>
        <v>0.22368933752021969</v>
      </c>
      <c r="E36" s="1">
        <f>D36/D37*100</f>
        <v>111.76222561322831</v>
      </c>
      <c r="F36" s="1">
        <v>5</v>
      </c>
    </row>
    <row r="37" spans="1:6" x14ac:dyDescent="0.25">
      <c r="A37" s="11" t="s">
        <v>210</v>
      </c>
      <c r="B37" s="1">
        <f>0.5*(SUM(B29:O29))-C37</f>
        <v>0.19964753311582548</v>
      </c>
      <c r="C37" s="1">
        <v>5.0000000000000001E-4</v>
      </c>
      <c r="D37" s="1">
        <f>B37++((C32*C37)/(C37*(C32/C37)))</f>
        <v>0.20014753311582548</v>
      </c>
      <c r="E37" s="1">
        <f>D37/D37*100</f>
        <v>100</v>
      </c>
      <c r="F37" s="1">
        <v>4</v>
      </c>
    </row>
    <row r="38" spans="1:6" x14ac:dyDescent="0.25">
      <c r="C38" s="1">
        <f>SUM(C32:C37)</f>
        <v>3.0999999999999999E-3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2"/>
  <sheetViews>
    <sheetView workbookViewId="0">
      <selection activeCell="L3" sqref="L3"/>
    </sheetView>
  </sheetViews>
  <sheetFormatPr baseColWidth="10" defaultRowHeight="15" x14ac:dyDescent="0.25"/>
  <cols>
    <col min="2" max="2" width="13.5703125" bestFit="1" customWidth="1"/>
    <col min="10" max="10" width="14.140625" customWidth="1"/>
  </cols>
  <sheetData>
    <row r="3" spans="1:18" x14ac:dyDescent="0.25">
      <c r="A3" t="s">
        <v>0</v>
      </c>
      <c r="B3" t="s">
        <v>1</v>
      </c>
      <c r="C3" t="s">
        <v>3</v>
      </c>
      <c r="D3" t="s">
        <v>4</v>
      </c>
      <c r="E3" t="s">
        <v>5</v>
      </c>
      <c r="F3" t="s">
        <v>6</v>
      </c>
      <c r="G3" t="s">
        <v>24</v>
      </c>
      <c r="J3" t="s">
        <v>0</v>
      </c>
      <c r="K3" t="s">
        <v>69</v>
      </c>
      <c r="L3" t="s">
        <v>70</v>
      </c>
      <c r="M3" t="s">
        <v>75</v>
      </c>
      <c r="N3" t="s">
        <v>71</v>
      </c>
      <c r="O3" t="s">
        <v>72</v>
      </c>
      <c r="P3" t="s">
        <v>73</v>
      </c>
      <c r="Q3" t="s">
        <v>81</v>
      </c>
      <c r="R3" t="s">
        <v>76</v>
      </c>
    </row>
    <row r="4" spans="1:18" x14ac:dyDescent="0.25">
      <c r="A4">
        <v>1</v>
      </c>
      <c r="B4">
        <v>200</v>
      </c>
      <c r="C4">
        <v>200</v>
      </c>
      <c r="D4">
        <v>330</v>
      </c>
      <c r="E4">
        <v>100</v>
      </c>
      <c r="F4">
        <v>380</v>
      </c>
      <c r="G4">
        <f>(C11-C4)/(C11-C12)</f>
        <v>0.88461538461538458</v>
      </c>
      <c r="J4" t="s">
        <v>93</v>
      </c>
      <c r="K4">
        <v>10000</v>
      </c>
      <c r="L4" t="s">
        <v>74</v>
      </c>
      <c r="M4">
        <v>32.5</v>
      </c>
      <c r="Q4">
        <v>380</v>
      </c>
      <c r="R4" t="s">
        <v>83</v>
      </c>
    </row>
    <row r="5" spans="1:18" x14ac:dyDescent="0.25">
      <c r="A5">
        <v>2</v>
      </c>
      <c r="B5">
        <v>220</v>
      </c>
      <c r="C5">
        <v>220</v>
      </c>
      <c r="D5">
        <v>460</v>
      </c>
      <c r="E5">
        <v>360</v>
      </c>
      <c r="F5">
        <v>880</v>
      </c>
      <c r="G5">
        <f>(C11-C5)/(C11-C12)</f>
        <v>0.73076923076923073</v>
      </c>
      <c r="J5" t="s">
        <v>77</v>
      </c>
      <c r="K5">
        <v>8000</v>
      </c>
      <c r="L5">
        <v>20000</v>
      </c>
      <c r="M5">
        <v>68</v>
      </c>
      <c r="R5" t="s">
        <v>78</v>
      </c>
    </row>
    <row r="6" spans="1:18" x14ac:dyDescent="0.25">
      <c r="A6">
        <v>3</v>
      </c>
      <c r="B6">
        <v>240</v>
      </c>
      <c r="C6">
        <v>240</v>
      </c>
      <c r="D6">
        <v>550</v>
      </c>
      <c r="E6">
        <v>340</v>
      </c>
      <c r="F6">
        <v>845</v>
      </c>
      <c r="G6">
        <f>(C11-C6)/(C11-C12)</f>
        <v>0.57692307692307687</v>
      </c>
      <c r="J6" t="s">
        <v>94</v>
      </c>
      <c r="K6">
        <v>60000</v>
      </c>
      <c r="L6" t="s">
        <v>79</v>
      </c>
      <c r="M6">
        <v>32</v>
      </c>
      <c r="Q6">
        <v>400</v>
      </c>
      <c r="R6" t="s">
        <v>80</v>
      </c>
    </row>
    <row r="7" spans="1:18" x14ac:dyDescent="0.25">
      <c r="A7">
        <v>4</v>
      </c>
      <c r="B7">
        <v>270</v>
      </c>
      <c r="C7">
        <v>270</v>
      </c>
      <c r="D7">
        <v>630</v>
      </c>
      <c r="E7">
        <v>435</v>
      </c>
      <c r="F7">
        <v>590</v>
      </c>
      <c r="G7">
        <f>(C11-C7)/(C11-C12)</f>
        <v>0.34615384615384615</v>
      </c>
      <c r="J7" t="s">
        <v>82</v>
      </c>
      <c r="K7">
        <v>600</v>
      </c>
      <c r="L7">
        <v>16000</v>
      </c>
      <c r="M7">
        <v>24.9</v>
      </c>
      <c r="R7" t="s">
        <v>86</v>
      </c>
    </row>
    <row r="8" spans="1:18" x14ac:dyDescent="0.25">
      <c r="A8">
        <v>5</v>
      </c>
      <c r="B8">
        <v>270</v>
      </c>
      <c r="C8">
        <v>270</v>
      </c>
      <c r="D8">
        <v>670</v>
      </c>
      <c r="E8">
        <v>540</v>
      </c>
      <c r="F8">
        <v>1190</v>
      </c>
      <c r="G8">
        <f>(C11-C8)/(C11-C12)</f>
        <v>0.34615384615384615</v>
      </c>
      <c r="J8" t="s">
        <v>84</v>
      </c>
      <c r="K8">
        <v>700</v>
      </c>
      <c r="L8">
        <v>17000</v>
      </c>
      <c r="M8">
        <v>24.5</v>
      </c>
      <c r="R8" t="s">
        <v>85</v>
      </c>
    </row>
    <row r="9" spans="1:18" x14ac:dyDescent="0.25">
      <c r="A9">
        <v>6</v>
      </c>
      <c r="B9">
        <v>585</v>
      </c>
      <c r="C9">
        <v>240</v>
      </c>
      <c r="D9">
        <v>1160</v>
      </c>
      <c r="E9">
        <v>680</v>
      </c>
      <c r="F9">
        <v>1580</v>
      </c>
      <c r="G9">
        <f>(C11-C9)/(C11-C12)</f>
        <v>0.57692307692307687</v>
      </c>
      <c r="J9" t="s">
        <v>87</v>
      </c>
      <c r="K9">
        <v>410</v>
      </c>
      <c r="L9">
        <v>0.16300000000000001</v>
      </c>
      <c r="M9">
        <v>26.6</v>
      </c>
      <c r="R9" t="s">
        <v>88</v>
      </c>
    </row>
    <row r="10" spans="1:18" x14ac:dyDescent="0.25">
      <c r="A10">
        <v>7</v>
      </c>
      <c r="B10">
        <v>700</v>
      </c>
      <c r="C10">
        <v>315</v>
      </c>
      <c r="D10">
        <v>1500</v>
      </c>
      <c r="E10">
        <v>920</v>
      </c>
      <c r="F10">
        <v>2300</v>
      </c>
      <c r="G10">
        <f>(C11-C10)/(C11-C12)</f>
        <v>0</v>
      </c>
      <c r="J10" t="s">
        <v>89</v>
      </c>
      <c r="K10">
        <v>68</v>
      </c>
      <c r="L10">
        <v>160000</v>
      </c>
      <c r="M10">
        <v>69.2</v>
      </c>
      <c r="R10" t="s">
        <v>91</v>
      </c>
    </row>
    <row r="11" spans="1:18" x14ac:dyDescent="0.25">
      <c r="A11">
        <v>8</v>
      </c>
      <c r="B11">
        <v>750</v>
      </c>
      <c r="C11">
        <v>315</v>
      </c>
      <c r="D11">
        <v>1250</v>
      </c>
      <c r="E11">
        <v>760</v>
      </c>
      <c r="F11">
        <v>1250</v>
      </c>
      <c r="G11">
        <f>(C11-C11)/(C11-C12)</f>
        <v>0</v>
      </c>
      <c r="J11" t="s">
        <v>90</v>
      </c>
      <c r="K11">
        <v>1240</v>
      </c>
      <c r="L11">
        <v>150000</v>
      </c>
      <c r="M11">
        <v>60.7</v>
      </c>
      <c r="R11" t="s">
        <v>92</v>
      </c>
    </row>
    <row r="12" spans="1:18" x14ac:dyDescent="0.25">
      <c r="A12">
        <v>9</v>
      </c>
      <c r="B12">
        <v>185</v>
      </c>
      <c r="C12">
        <v>185</v>
      </c>
      <c r="D12">
        <v>500</v>
      </c>
      <c r="E12">
        <v>430</v>
      </c>
      <c r="F12">
        <v>635</v>
      </c>
      <c r="G12">
        <f>(C11-C12)/(C11-C12)</f>
        <v>1</v>
      </c>
    </row>
    <row r="13" spans="1:18" x14ac:dyDescent="0.25">
      <c r="B13">
        <f>SUM(B4:B12)</f>
        <v>3420</v>
      </c>
      <c r="C13">
        <f>SUM(C4:C12)</f>
        <v>2255</v>
      </c>
      <c r="D13">
        <f>SUM(D4:D12)</f>
        <v>7050</v>
      </c>
      <c r="E13">
        <f>SUM(E4:E12)</f>
        <v>4565</v>
      </c>
      <c r="F13">
        <f>SUM(F4:F12)</f>
        <v>9650</v>
      </c>
    </row>
    <row r="15" spans="1:18" x14ac:dyDescent="0.25">
      <c r="B15">
        <v>0.17199999999999999</v>
      </c>
      <c r="C15">
        <v>5.0000000000000001E-3</v>
      </c>
      <c r="D15">
        <v>0.42599999999999999</v>
      </c>
      <c r="E15">
        <v>0.29199999999999998</v>
      </c>
      <c r="F15">
        <v>0.10199999999999999</v>
      </c>
      <c r="G15">
        <f>B15+C15+D15+E15+F15</f>
        <v>0.997</v>
      </c>
    </row>
    <row r="17" spans="1:15" x14ac:dyDescent="0.25">
      <c r="A17" t="s">
        <v>23</v>
      </c>
      <c r="B17" t="s">
        <v>1</v>
      </c>
      <c r="C17" t="s">
        <v>3</v>
      </c>
      <c r="D17" t="s">
        <v>4</v>
      </c>
      <c r="E17" t="s">
        <v>5</v>
      </c>
      <c r="F17" t="s">
        <v>6</v>
      </c>
    </row>
    <row r="18" spans="1:15" x14ac:dyDescent="0.25">
      <c r="A18">
        <v>1</v>
      </c>
      <c r="B18" s="1">
        <f>(B4-B12)/(B11-B12)</f>
        <v>2.6548672566371681E-2</v>
      </c>
      <c r="C18" s="1">
        <f>G4</f>
        <v>0.88461538461538458</v>
      </c>
      <c r="D18" s="1">
        <f>(D4-D4)/(D10-D4)</f>
        <v>0</v>
      </c>
      <c r="E18" s="1">
        <f>(E4-E4)/(E10-E4)</f>
        <v>0</v>
      </c>
      <c r="F18" s="1">
        <f>(F4-F4)/(F11-F4)</f>
        <v>0</v>
      </c>
      <c r="H18" t="s">
        <v>25</v>
      </c>
      <c r="I18" s="1">
        <f>B18-B19</f>
        <v>-3.5398230088495575E-2</v>
      </c>
      <c r="J18">
        <f>I18*B15/G15</f>
        <v>-6.1068160232911114E-3</v>
      </c>
      <c r="K18" t="s">
        <v>26</v>
      </c>
      <c r="L18">
        <v>0</v>
      </c>
      <c r="N18" t="s">
        <v>56</v>
      </c>
      <c r="O18">
        <v>0</v>
      </c>
    </row>
    <row r="19" spans="1:15" x14ac:dyDescent="0.25">
      <c r="A19">
        <v>2</v>
      </c>
      <c r="B19" s="1">
        <f>(B5-B12)/(B11-B12)</f>
        <v>6.1946902654867256E-2</v>
      </c>
      <c r="C19" s="1">
        <f t="shared" ref="C19:C26" si="0">G5</f>
        <v>0.73076923076923073</v>
      </c>
      <c r="D19" s="1">
        <f>(D5-D4)/(D10-D4)</f>
        <v>0.1111111111111111</v>
      </c>
      <c r="E19" s="1">
        <f>(E5-E4)/(E10-E4)</f>
        <v>0.31707317073170732</v>
      </c>
      <c r="F19" s="1">
        <f>(F5-F4)/(F10-F4)</f>
        <v>0.26041666666666669</v>
      </c>
      <c r="K19" t="s">
        <v>27</v>
      </c>
      <c r="L19" s="1">
        <f>B18-B19</f>
        <v>-3.5398230088495575E-2</v>
      </c>
      <c r="N19" t="s">
        <v>57</v>
      </c>
      <c r="O19" s="1">
        <f>C18-C19</f>
        <v>0.15384615384615385</v>
      </c>
    </row>
    <row r="20" spans="1:15" x14ac:dyDescent="0.25">
      <c r="A20">
        <v>3</v>
      </c>
      <c r="B20" s="1">
        <f>(B6-B12)/(B11-B12)</f>
        <v>9.7345132743362831E-2</v>
      </c>
      <c r="C20" s="1">
        <f t="shared" si="0"/>
        <v>0.57692307692307687</v>
      </c>
      <c r="D20" s="1">
        <f>(D6-D4)/(D10-D4)</f>
        <v>0.18803418803418803</v>
      </c>
      <c r="E20" s="1">
        <f>(E6-E4)/(E10-E4)</f>
        <v>0.29268292682926828</v>
      </c>
      <c r="F20" s="1">
        <f>(F6-F4)/(F10-F4)</f>
        <v>0.2421875</v>
      </c>
      <c r="K20" t="s">
        <v>28</v>
      </c>
      <c r="L20" s="1">
        <f>B18-B20</f>
        <v>-7.0796460176991149E-2</v>
      </c>
      <c r="N20" t="s">
        <v>58</v>
      </c>
      <c r="O20">
        <v>0</v>
      </c>
    </row>
    <row r="21" spans="1:15" x14ac:dyDescent="0.25">
      <c r="A21">
        <v>4</v>
      </c>
      <c r="B21" s="1">
        <f>(B7-B12)/(B11-B12)</f>
        <v>0.15044247787610621</v>
      </c>
      <c r="C21" s="1">
        <f t="shared" si="0"/>
        <v>0.34615384615384615</v>
      </c>
      <c r="D21" s="1">
        <f>(D7-D4)/(D10-D7)</f>
        <v>0.34482758620689657</v>
      </c>
      <c r="E21" s="1">
        <f>(E7-E4)/(E10-E4)</f>
        <v>0.40853658536585363</v>
      </c>
      <c r="F21" s="1">
        <f>(F7-F4)/(F10-F4)</f>
        <v>0.109375</v>
      </c>
      <c r="K21" t="s">
        <v>29</v>
      </c>
      <c r="L21" s="1">
        <f>B18-B21</f>
        <v>-0.12389380530973453</v>
      </c>
      <c r="N21" t="s">
        <v>59</v>
      </c>
      <c r="O21">
        <v>0</v>
      </c>
    </row>
    <row r="22" spans="1:15" x14ac:dyDescent="0.25">
      <c r="A22">
        <v>5</v>
      </c>
      <c r="B22" s="1">
        <f>(B8-B12)/(B11-B12)</f>
        <v>0.15044247787610621</v>
      </c>
      <c r="C22" s="1">
        <f t="shared" si="0"/>
        <v>0.34615384615384615</v>
      </c>
      <c r="D22" s="1">
        <f>(D8-D4)/(D10-D4)</f>
        <v>0.29059829059829062</v>
      </c>
      <c r="E22" s="1">
        <f>(E8-E7)/(E13-E7)</f>
        <v>2.5423728813559324E-2</v>
      </c>
      <c r="F22" s="1">
        <f>(F8-F4)/(F10-F4)</f>
        <v>0.421875</v>
      </c>
      <c r="K22" t="s">
        <v>30</v>
      </c>
      <c r="L22" s="1">
        <f>B18-B22</f>
        <v>-0.12389380530973453</v>
      </c>
      <c r="N22" t="s">
        <v>60</v>
      </c>
      <c r="O22">
        <v>0</v>
      </c>
    </row>
    <row r="23" spans="1:15" x14ac:dyDescent="0.25">
      <c r="A23">
        <v>6</v>
      </c>
      <c r="B23" s="1">
        <f>(B9-B12)/(B11-B12)</f>
        <v>0.70796460176991149</v>
      </c>
      <c r="C23" s="1">
        <f t="shared" si="0"/>
        <v>0.57692307692307687</v>
      </c>
      <c r="D23" s="1">
        <f>(D9-D4)/(D10-D4)</f>
        <v>0.70940170940170943</v>
      </c>
      <c r="E23" s="1">
        <f>(E9-E4)/(E10-E4)</f>
        <v>0.70731707317073167</v>
      </c>
      <c r="F23" s="1">
        <f>(F9-F4)/(F10-F4)</f>
        <v>0.625</v>
      </c>
      <c r="H23" t="s">
        <v>65</v>
      </c>
    </row>
    <row r="24" spans="1:15" x14ac:dyDescent="0.25">
      <c r="A24">
        <v>7</v>
      </c>
      <c r="B24" s="1">
        <f>(B10-B12)/(B11-B12)</f>
        <v>0.91150442477876104</v>
      </c>
      <c r="C24" s="1">
        <f t="shared" si="0"/>
        <v>0</v>
      </c>
      <c r="D24" s="1">
        <f>(D10-D4)/(D10-D4)</f>
        <v>1</v>
      </c>
      <c r="E24" s="1">
        <f>(E10-E4)/(E10-E4)</f>
        <v>1</v>
      </c>
      <c r="F24" s="1">
        <f>(F10-F4)/(F10-F4)</f>
        <v>1</v>
      </c>
    </row>
    <row r="25" spans="1:15" x14ac:dyDescent="0.25">
      <c r="A25">
        <v>8</v>
      </c>
      <c r="B25" s="1">
        <f>(B11-B12)/(B11-B12)</f>
        <v>1</v>
      </c>
      <c r="C25" s="1">
        <f t="shared" si="0"/>
        <v>0</v>
      </c>
      <c r="D25" s="1">
        <f>(D11-D4)/(D10-D4)</f>
        <v>0.78632478632478631</v>
      </c>
      <c r="E25" s="1">
        <f>(E11-E4)/(E10-E4)</f>
        <v>0.80487804878048785</v>
      </c>
      <c r="F25" s="1">
        <f>(F11-F4)/(F10-F4)</f>
        <v>0.453125</v>
      </c>
    </row>
    <row r="26" spans="1:15" x14ac:dyDescent="0.25">
      <c r="A26">
        <v>9</v>
      </c>
      <c r="B26" s="1">
        <f>(B12-B12)/(B11-B12)</f>
        <v>0</v>
      </c>
      <c r="C26" s="1">
        <f t="shared" si="0"/>
        <v>1</v>
      </c>
      <c r="D26" s="1">
        <f>(D12-D4)/(D10-D4)</f>
        <v>0.14529914529914531</v>
      </c>
      <c r="E26" s="1">
        <f>(E12-E4)/(E10-E4)</f>
        <v>0.40243902439024393</v>
      </c>
      <c r="F26" s="1">
        <f>(F12-F4)/(F10-F4)</f>
        <v>0.1328125</v>
      </c>
    </row>
    <row r="28" spans="1:15" x14ac:dyDescent="0.25">
      <c r="A28" t="s">
        <v>31</v>
      </c>
      <c r="B28" t="s">
        <v>55</v>
      </c>
      <c r="C28" t="s">
        <v>62</v>
      </c>
      <c r="D28" t="s">
        <v>63</v>
      </c>
      <c r="H28" s="3" t="s">
        <v>67</v>
      </c>
      <c r="I28" t="s">
        <v>68</v>
      </c>
      <c r="J28" t="s">
        <v>68</v>
      </c>
    </row>
    <row r="29" spans="1:15" x14ac:dyDescent="0.25">
      <c r="A29" t="s">
        <v>32</v>
      </c>
      <c r="B29" s="1">
        <f>O19*C15/G15</f>
        <v>7.7154540544711067E-4</v>
      </c>
      <c r="D29">
        <v>1.5E-3</v>
      </c>
      <c r="H29">
        <f>D36/8</f>
        <v>4.5125E-3</v>
      </c>
    </row>
    <row r="30" spans="1:15" x14ac:dyDescent="0.25">
      <c r="A30" t="s">
        <v>33</v>
      </c>
      <c r="D30">
        <v>3.0999999999999999E-3</v>
      </c>
    </row>
    <row r="31" spans="1:15" x14ac:dyDescent="0.25">
      <c r="A31" t="s">
        <v>34</v>
      </c>
      <c r="D31">
        <v>5.4000000000000003E-3</v>
      </c>
    </row>
    <row r="32" spans="1:15" x14ac:dyDescent="0.25">
      <c r="A32" t="s">
        <v>35</v>
      </c>
      <c r="D32">
        <v>5.4000000000000003E-3</v>
      </c>
    </row>
    <row r="33" spans="1:4" x14ac:dyDescent="0.25">
      <c r="A33" t="s">
        <v>36</v>
      </c>
      <c r="B33" t="s">
        <v>61</v>
      </c>
      <c r="D33">
        <v>3.0999999999999999E-3</v>
      </c>
    </row>
    <row r="34" spans="1:4" x14ac:dyDescent="0.25">
      <c r="A34" t="s">
        <v>37</v>
      </c>
      <c r="D34">
        <v>8.8000000000000005E-3</v>
      </c>
    </row>
    <row r="35" spans="1:4" x14ac:dyDescent="0.25">
      <c r="A35" t="s">
        <v>38</v>
      </c>
      <c r="D35">
        <v>8.8000000000000005E-3</v>
      </c>
    </row>
    <row r="36" spans="1:4" x14ac:dyDescent="0.25">
      <c r="A36" t="s">
        <v>39</v>
      </c>
      <c r="C36" t="s">
        <v>66</v>
      </c>
      <c r="D36">
        <f>SUM(D29:D35)</f>
        <v>3.61E-2</v>
      </c>
    </row>
    <row r="37" spans="1:4" x14ac:dyDescent="0.25">
      <c r="A37" t="s">
        <v>40</v>
      </c>
    </row>
    <row r="38" spans="1:4" x14ac:dyDescent="0.25">
      <c r="A38" t="s">
        <v>41</v>
      </c>
    </row>
    <row r="39" spans="1:4" x14ac:dyDescent="0.25">
      <c r="A39" t="s">
        <v>42</v>
      </c>
    </row>
    <row r="40" spans="1:4" x14ac:dyDescent="0.25">
      <c r="A40" t="s">
        <v>43</v>
      </c>
    </row>
    <row r="41" spans="1:4" x14ac:dyDescent="0.25">
      <c r="A41" t="s">
        <v>44</v>
      </c>
    </row>
    <row r="42" spans="1:4" x14ac:dyDescent="0.25">
      <c r="A42" t="s">
        <v>45</v>
      </c>
    </row>
    <row r="43" spans="1:4" x14ac:dyDescent="0.25">
      <c r="A43" t="s">
        <v>46</v>
      </c>
    </row>
    <row r="44" spans="1:4" x14ac:dyDescent="0.25">
      <c r="A44" t="s">
        <v>47</v>
      </c>
    </row>
    <row r="45" spans="1:4" x14ac:dyDescent="0.25">
      <c r="A45" t="s">
        <v>48</v>
      </c>
    </row>
    <row r="46" spans="1:4" x14ac:dyDescent="0.25">
      <c r="A46" t="s">
        <v>49</v>
      </c>
    </row>
    <row r="47" spans="1:4" x14ac:dyDescent="0.25">
      <c r="A47" t="s">
        <v>50</v>
      </c>
    </row>
    <row r="48" spans="1:4" x14ac:dyDescent="0.25">
      <c r="A48" t="s">
        <v>51</v>
      </c>
    </row>
    <row r="49" spans="1:1" x14ac:dyDescent="0.25">
      <c r="A49" t="s">
        <v>52</v>
      </c>
    </row>
    <row r="50" spans="1:1" x14ac:dyDescent="0.25">
      <c r="A50" t="s">
        <v>53</v>
      </c>
    </row>
    <row r="51" spans="1:1" x14ac:dyDescent="0.25">
      <c r="A51" t="s">
        <v>54</v>
      </c>
    </row>
    <row r="52" spans="1:1" x14ac:dyDescent="0.25">
      <c r="A52" t="s">
        <v>64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11" sqref="F11"/>
    </sheetView>
  </sheetViews>
  <sheetFormatPr baseColWidth="10" defaultRowHeight="15" x14ac:dyDescent="0.25"/>
  <sheetData>
    <row r="1" spans="1:6" x14ac:dyDescent="0.25">
      <c r="A1" t="s">
        <v>22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  <row r="2" spans="1:6" x14ac:dyDescent="0.25">
      <c r="A2">
        <v>1</v>
      </c>
      <c r="B2">
        <v>200</v>
      </c>
      <c r="C2">
        <v>200</v>
      </c>
      <c r="D2">
        <v>330</v>
      </c>
      <c r="E2">
        <v>100</v>
      </c>
      <c r="F2">
        <v>380</v>
      </c>
    </row>
    <row r="3" spans="1:6" x14ac:dyDescent="0.25">
      <c r="A3">
        <v>2</v>
      </c>
      <c r="B3">
        <v>220</v>
      </c>
      <c r="C3">
        <v>220</v>
      </c>
      <c r="D3">
        <v>460</v>
      </c>
      <c r="E3">
        <v>360</v>
      </c>
      <c r="F3">
        <v>880</v>
      </c>
    </row>
    <row r="4" spans="1:6" x14ac:dyDescent="0.25">
      <c r="A4">
        <v>3</v>
      </c>
      <c r="B4">
        <v>240</v>
      </c>
      <c r="C4">
        <v>240</v>
      </c>
      <c r="D4">
        <v>550</v>
      </c>
      <c r="E4">
        <v>340</v>
      </c>
      <c r="F4">
        <v>845</v>
      </c>
    </row>
    <row r="5" spans="1:6" x14ac:dyDescent="0.25">
      <c r="A5">
        <v>4</v>
      </c>
      <c r="B5">
        <v>270</v>
      </c>
      <c r="C5">
        <v>270</v>
      </c>
      <c r="D5">
        <v>630</v>
      </c>
      <c r="E5">
        <v>435</v>
      </c>
      <c r="F5">
        <v>590</v>
      </c>
    </row>
    <row r="6" spans="1:6" x14ac:dyDescent="0.25">
      <c r="A6">
        <v>5</v>
      </c>
      <c r="B6">
        <v>270</v>
      </c>
      <c r="C6">
        <v>270</v>
      </c>
      <c r="D6">
        <v>670</v>
      </c>
      <c r="E6">
        <v>540</v>
      </c>
      <c r="F6">
        <v>1190</v>
      </c>
    </row>
    <row r="7" spans="1:6" x14ac:dyDescent="0.25">
      <c r="A7">
        <v>6</v>
      </c>
      <c r="B7">
        <v>585</v>
      </c>
      <c r="C7">
        <v>240</v>
      </c>
      <c r="D7">
        <v>1160</v>
      </c>
      <c r="E7">
        <v>680</v>
      </c>
      <c r="F7">
        <v>1580</v>
      </c>
    </row>
    <row r="8" spans="1:6" x14ac:dyDescent="0.25">
      <c r="A8">
        <v>7</v>
      </c>
      <c r="B8">
        <v>700</v>
      </c>
      <c r="C8">
        <v>315</v>
      </c>
      <c r="D8">
        <v>1500</v>
      </c>
      <c r="E8">
        <v>920</v>
      </c>
      <c r="F8">
        <v>2300</v>
      </c>
    </row>
    <row r="9" spans="1:6" x14ac:dyDescent="0.25">
      <c r="A9">
        <v>8</v>
      </c>
      <c r="B9">
        <v>750</v>
      </c>
      <c r="C9">
        <v>315</v>
      </c>
      <c r="D9">
        <v>1250</v>
      </c>
      <c r="E9">
        <v>760</v>
      </c>
      <c r="F9">
        <v>1250</v>
      </c>
    </row>
    <row r="10" spans="1:6" x14ac:dyDescent="0.25">
      <c r="A10">
        <v>9</v>
      </c>
      <c r="B10">
        <v>185</v>
      </c>
      <c r="C10">
        <v>185</v>
      </c>
      <c r="D10">
        <v>500</v>
      </c>
      <c r="E10">
        <v>430</v>
      </c>
      <c r="F10">
        <v>635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F6" sqref="F6"/>
    </sheetView>
  </sheetViews>
  <sheetFormatPr baseColWidth="10" defaultRowHeight="15" x14ac:dyDescent="0.25"/>
  <cols>
    <col min="9" max="9" width="6.140625" customWidth="1"/>
    <col min="10" max="10" width="17.42578125" customWidth="1"/>
    <col min="11" max="16" width="13.5703125" bestFit="1" customWidth="1"/>
  </cols>
  <sheetData>
    <row r="1" spans="1:18" x14ac:dyDescent="0.25">
      <c r="A1" t="s">
        <v>110</v>
      </c>
      <c r="B1" t="s">
        <v>0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K1" t="str">
        <f t="shared" ref="K1:P1" si="0">K14</f>
        <v>YM</v>
      </c>
      <c r="L1" t="str">
        <f t="shared" si="0"/>
        <v>CS</v>
      </c>
      <c r="M1" t="str">
        <f t="shared" si="0"/>
        <v>FT</v>
      </c>
      <c r="N1" t="str">
        <f t="shared" si="0"/>
        <v>MLC</v>
      </c>
      <c r="O1" t="str">
        <f t="shared" si="0"/>
        <v>H</v>
      </c>
      <c r="P1" t="str">
        <f t="shared" si="0"/>
        <v>C</v>
      </c>
    </row>
    <row r="2" spans="1:18" x14ac:dyDescent="0.25">
      <c r="A2">
        <v>1</v>
      </c>
      <c r="B2" t="s">
        <v>101</v>
      </c>
      <c r="C2">
        <v>210</v>
      </c>
      <c r="D2">
        <v>330</v>
      </c>
      <c r="E2">
        <v>54.5</v>
      </c>
      <c r="F2">
        <v>1.1100000000000001E-3</v>
      </c>
      <c r="G2">
        <v>150</v>
      </c>
      <c r="H2">
        <v>0.67300000000000004</v>
      </c>
      <c r="J2" s="6" t="s">
        <v>119</v>
      </c>
      <c r="K2" s="4">
        <f>-K8*C25</f>
        <v>1.3692582912912301</v>
      </c>
      <c r="L2" s="4">
        <f>-L8*C25</f>
        <v>1.1270634992376614</v>
      </c>
      <c r="M2" s="4">
        <f>-M8*C25</f>
        <v>1.2681423422831848</v>
      </c>
      <c r="N2" s="4">
        <f>-N8*C25</f>
        <v>1.2444218317356561</v>
      </c>
      <c r="O2" s="4">
        <f>-O8*C25</f>
        <v>1.249098889985486</v>
      </c>
      <c r="P2" s="4">
        <f>-P8*C25</f>
        <v>0.35247469502703938</v>
      </c>
    </row>
    <row r="3" spans="1:18" x14ac:dyDescent="0.25">
      <c r="A3">
        <v>2</v>
      </c>
      <c r="B3" t="s">
        <v>102</v>
      </c>
      <c r="C3">
        <v>212</v>
      </c>
      <c r="D3">
        <v>632.5</v>
      </c>
      <c r="E3">
        <v>46</v>
      </c>
      <c r="F3">
        <v>1.17E-3</v>
      </c>
      <c r="G3">
        <v>355</v>
      </c>
      <c r="H3">
        <v>0.70450000000000002</v>
      </c>
      <c r="K3" s="4">
        <f>1-K2</f>
        <v>-0.36925829129123011</v>
      </c>
      <c r="L3" s="4">
        <f t="shared" ref="L3:P3" si="1">1-L2</f>
        <v>-0.12706349923766136</v>
      </c>
      <c r="M3" s="4">
        <f t="shared" si="1"/>
        <v>-0.26814234228318479</v>
      </c>
      <c r="N3" s="4">
        <f t="shared" si="1"/>
        <v>-0.24442183173565613</v>
      </c>
      <c r="O3" s="4">
        <f t="shared" si="1"/>
        <v>-0.24909888998548602</v>
      </c>
      <c r="P3" s="4">
        <f t="shared" si="1"/>
        <v>0.64752530497296057</v>
      </c>
    </row>
    <row r="4" spans="1:18" x14ac:dyDescent="0.25">
      <c r="A4">
        <v>3</v>
      </c>
      <c r="B4" t="s">
        <v>103</v>
      </c>
      <c r="C4">
        <v>212</v>
      </c>
      <c r="D4">
        <v>655</v>
      </c>
      <c r="E4">
        <v>87.5</v>
      </c>
      <c r="F4">
        <v>5.1500000000000005E-4</v>
      </c>
      <c r="G4">
        <v>305</v>
      </c>
      <c r="H4">
        <v>0.86399999999999999</v>
      </c>
      <c r="J4" s="6" t="s">
        <v>121</v>
      </c>
      <c r="K4" s="4">
        <f>K3*-1</f>
        <v>0.36925829129123011</v>
      </c>
      <c r="L4" s="4">
        <f>L3*-1</f>
        <v>0.12706349923766136</v>
      </c>
      <c r="M4" s="4">
        <f>M3*-1</f>
        <v>0.26814234228318479</v>
      </c>
      <c r="N4" s="4">
        <f>N3*-1</f>
        <v>0.24442183173565613</v>
      </c>
      <c r="O4" s="4">
        <f>O3*-1</f>
        <v>0.24909888998548602</v>
      </c>
      <c r="P4" s="4">
        <f>P3</f>
        <v>0.64752530497296057</v>
      </c>
      <c r="R4">
        <f>SUM(K4:P4)</f>
        <v>1.905510159506179</v>
      </c>
    </row>
    <row r="5" spans="1:18" x14ac:dyDescent="0.25">
      <c r="A5">
        <v>4</v>
      </c>
      <c r="B5" t="s">
        <v>104</v>
      </c>
      <c r="C5">
        <v>206.5</v>
      </c>
      <c r="D5">
        <v>1575</v>
      </c>
      <c r="E5">
        <v>38</v>
      </c>
      <c r="F5">
        <v>2.5999999999999998E-4</v>
      </c>
      <c r="G5">
        <v>483</v>
      </c>
      <c r="H5">
        <v>1.175</v>
      </c>
      <c r="K5" s="4"/>
      <c r="L5" s="4"/>
      <c r="M5" s="4"/>
      <c r="N5" s="4"/>
      <c r="O5" s="4"/>
      <c r="P5" s="4"/>
    </row>
    <row r="6" spans="1:18" x14ac:dyDescent="0.25">
      <c r="A6">
        <v>5</v>
      </c>
      <c r="B6" t="s">
        <v>105</v>
      </c>
      <c r="C6">
        <v>206.5</v>
      </c>
      <c r="D6">
        <v>360</v>
      </c>
      <c r="E6">
        <v>111.5</v>
      </c>
      <c r="F6">
        <v>8.8999999999999995E-4</v>
      </c>
      <c r="G6">
        <v>190</v>
      </c>
      <c r="H6">
        <v>0.86650000000000005</v>
      </c>
      <c r="J6" s="5" t="s">
        <v>122</v>
      </c>
      <c r="K6" s="4">
        <f>K4/R4</f>
        <v>0.19378447784656522</v>
      </c>
      <c r="L6" s="4">
        <f>L4/R4</f>
        <v>6.6682142104448505E-2</v>
      </c>
      <c r="M6" s="4">
        <f>M4/R4</f>
        <v>0.14071945035059535</v>
      </c>
      <c r="N6" s="4">
        <f>N4/R4</f>
        <v>0.12827107245599734</v>
      </c>
      <c r="O6" s="4">
        <f>O4/R4</f>
        <v>0.1307255638301299</v>
      </c>
      <c r="P6" s="4">
        <f>P4/R4</f>
        <v>0.33981729341226369</v>
      </c>
    </row>
    <row r="7" spans="1:18" x14ac:dyDescent="0.25">
      <c r="A7">
        <v>6</v>
      </c>
      <c r="B7" t="s">
        <v>106</v>
      </c>
      <c r="C7">
        <v>187.5</v>
      </c>
      <c r="D7">
        <v>1825</v>
      </c>
      <c r="E7">
        <v>80</v>
      </c>
      <c r="F7">
        <v>7.1000000000000002E-4</v>
      </c>
      <c r="G7">
        <v>532.5</v>
      </c>
      <c r="H7">
        <v>6.97</v>
      </c>
      <c r="K7" s="4"/>
      <c r="L7" s="4"/>
      <c r="M7" s="4"/>
      <c r="N7" s="4"/>
      <c r="O7" s="4"/>
      <c r="P7" s="4"/>
    </row>
    <row r="8" spans="1:18" x14ac:dyDescent="0.25">
      <c r="A8">
        <v>7</v>
      </c>
      <c r="B8" t="s">
        <v>107</v>
      </c>
      <c r="C8">
        <v>210</v>
      </c>
      <c r="D8">
        <v>1930</v>
      </c>
      <c r="E8">
        <v>21</v>
      </c>
      <c r="F8">
        <v>2.0550000000000001E-5</v>
      </c>
      <c r="G8">
        <v>771</v>
      </c>
      <c r="H8">
        <v>7.99</v>
      </c>
      <c r="J8" s="6" t="s">
        <v>120</v>
      </c>
      <c r="K8" s="4">
        <f t="shared" ref="K8:P8" si="2">SUM(C15*K15,C16*K16,C17*K17,C18*K18,C19*K19,C20*K20,C21*K21,C22*K22,C23*K23)</f>
        <v>-3.0085679703464874</v>
      </c>
      <c r="L8" s="4">
        <f t="shared" si="2"/>
        <v>-2.4764116207435509</v>
      </c>
      <c r="M8" s="4">
        <f t="shared" si="2"/>
        <v>-2.7863935220253344</v>
      </c>
      <c r="N8" s="4">
        <f t="shared" si="2"/>
        <v>-2.7342742332633412</v>
      </c>
      <c r="O8" s="4">
        <f t="shared" si="2"/>
        <v>-2.7445507805995004</v>
      </c>
      <c r="P8" s="4">
        <f t="shared" si="2"/>
        <v>-0.77446606280249952</v>
      </c>
    </row>
    <row r="9" spans="1:18" x14ac:dyDescent="0.25">
      <c r="A9">
        <v>8</v>
      </c>
      <c r="B9" t="s">
        <v>108</v>
      </c>
      <c r="C9">
        <v>593</v>
      </c>
      <c r="D9">
        <v>4405</v>
      </c>
      <c r="E9">
        <v>14.05</v>
      </c>
      <c r="F9">
        <v>1.3500000000000001E-3</v>
      </c>
      <c r="G9">
        <v>1250</v>
      </c>
      <c r="H9">
        <v>79.599999999999994</v>
      </c>
      <c r="K9" s="4"/>
      <c r="L9" s="4"/>
      <c r="M9" s="4"/>
      <c r="N9" s="4"/>
      <c r="O9" s="4"/>
      <c r="P9" s="4"/>
    </row>
    <row r="10" spans="1:18" x14ac:dyDescent="0.25">
      <c r="A10">
        <v>9</v>
      </c>
      <c r="B10" t="s">
        <v>109</v>
      </c>
      <c r="C10">
        <v>212.5</v>
      </c>
      <c r="D10">
        <v>1655</v>
      </c>
      <c r="E10">
        <v>120</v>
      </c>
      <c r="F10">
        <v>1.1299999999999999E-3</v>
      </c>
      <c r="G10">
        <v>448.5</v>
      </c>
      <c r="H10">
        <v>1.73</v>
      </c>
      <c r="K10" s="4"/>
      <c r="L10" s="4"/>
      <c r="M10" s="4"/>
      <c r="N10" s="4"/>
      <c r="O10" s="4"/>
      <c r="P10" s="4"/>
    </row>
    <row r="11" spans="1:18" x14ac:dyDescent="0.25">
      <c r="C11" s="7">
        <f>SUM(C2^2+C3^2+C4^2+C5^2+C6^2+C7^2+C8^2+C9^2+C10^2)</f>
        <v>695334</v>
      </c>
      <c r="D11" s="7">
        <f>SUMSQ(D2:D10)</f>
        <v>32746781.25</v>
      </c>
      <c r="E11" s="7">
        <f>SUMSQ(E2:E10)</f>
        <v>48057.152499999997</v>
      </c>
      <c r="F11" s="7">
        <f>SUMSQ(F2:F10)</f>
        <v>7.3298473024999997E-6</v>
      </c>
      <c r="G11" s="7">
        <f>SUMSQ(G2:G10)</f>
        <v>3152588.5</v>
      </c>
      <c r="H11" s="7">
        <f>SUMSQ(H2:H10)</f>
        <v>6455.4010924999993</v>
      </c>
      <c r="K11" s="4"/>
      <c r="L11" s="4"/>
      <c r="M11" s="4"/>
      <c r="N11" s="4"/>
      <c r="O11" s="4"/>
      <c r="P11" s="4"/>
    </row>
    <row r="12" spans="1:18" x14ac:dyDescent="0.25">
      <c r="C12" s="7">
        <f t="shared" ref="C12:H12" si="3">SQRT(C11)</f>
        <v>833.86689585328907</v>
      </c>
      <c r="D12" s="7">
        <f t="shared" si="3"/>
        <v>5722.480340726388</v>
      </c>
      <c r="E12" s="7">
        <f t="shared" si="3"/>
        <v>219.21941633897302</v>
      </c>
      <c r="F12" s="7">
        <f t="shared" si="3"/>
        <v>2.7073690739350628E-3</v>
      </c>
      <c r="G12" s="7">
        <f t="shared" si="3"/>
        <v>1775.5530124442919</v>
      </c>
      <c r="H12" s="7">
        <f t="shared" si="3"/>
        <v>80.345510717774388</v>
      </c>
      <c r="K12" s="4"/>
      <c r="L12" s="4"/>
      <c r="M12" s="4"/>
      <c r="N12" s="4"/>
      <c r="O12" s="4"/>
      <c r="P12" s="4"/>
    </row>
    <row r="13" spans="1:18" x14ac:dyDescent="0.25">
      <c r="K13" s="4"/>
      <c r="L13" s="4"/>
      <c r="M13" s="4"/>
      <c r="N13" s="4"/>
      <c r="O13" s="4"/>
      <c r="P13" s="4"/>
    </row>
    <row r="14" spans="1:18" x14ac:dyDescent="0.25">
      <c r="B14" s="6" t="s">
        <v>111</v>
      </c>
      <c r="C14" t="s">
        <v>112</v>
      </c>
      <c r="D14" t="s">
        <v>113</v>
      </c>
      <c r="E14" t="s">
        <v>114</v>
      </c>
      <c r="F14" t="s">
        <v>98</v>
      </c>
      <c r="G14" t="s">
        <v>115</v>
      </c>
      <c r="H14" t="s">
        <v>116</v>
      </c>
      <c r="J14" s="6" t="s">
        <v>118</v>
      </c>
      <c r="K14" s="4" t="s">
        <v>112</v>
      </c>
      <c r="L14" s="4" t="s">
        <v>113</v>
      </c>
      <c r="M14" s="4" t="s">
        <v>114</v>
      </c>
      <c r="N14" s="4" t="s">
        <v>98</v>
      </c>
      <c r="O14" s="4" t="s">
        <v>115</v>
      </c>
      <c r="P14" s="4" t="s">
        <v>116</v>
      </c>
    </row>
    <row r="15" spans="1:18" x14ac:dyDescent="0.25">
      <c r="C15" s="4">
        <f t="shared" ref="C15:H15" si="4">C2/C12</f>
        <v>0.25183875393579302</v>
      </c>
      <c r="D15" s="4">
        <f t="shared" si="4"/>
        <v>5.7667301650897618E-2</v>
      </c>
      <c r="E15" s="4">
        <f t="shared" si="4"/>
        <v>0.24860936549401325</v>
      </c>
      <c r="F15" s="4">
        <f t="shared" si="4"/>
        <v>0.40999212508055111</v>
      </c>
      <c r="G15" s="4">
        <f t="shared" si="4"/>
        <v>8.4480721751869547E-2</v>
      </c>
      <c r="H15" s="4">
        <f t="shared" si="4"/>
        <v>8.3763236301280485E-3</v>
      </c>
      <c r="K15" s="4">
        <f>LN(C15)</f>
        <v>-1.3789662616060594</v>
      </c>
      <c r="L15" s="4">
        <f t="shared" ref="L15:P23" si="5">LN(D15)</f>
        <v>-2.8530649619258495</v>
      </c>
      <c r="M15" s="4">
        <f t="shared" si="5"/>
        <v>-1.3918724276705914</v>
      </c>
      <c r="N15" s="4">
        <f t="shared" si="5"/>
        <v>-0.89161732658884973</v>
      </c>
      <c r="O15" s="4">
        <f t="shared" si="5"/>
        <v>-2.4712319155963161</v>
      </c>
      <c r="P15" s="4">
        <f t="shared" si="5"/>
        <v>-4.7823461683704398</v>
      </c>
    </row>
    <row r="16" spans="1:18" x14ac:dyDescent="0.25">
      <c r="C16" s="4">
        <f t="shared" ref="C16:H16" si="6">C3/C12</f>
        <v>0.25423721825899104</v>
      </c>
      <c r="D16" s="4">
        <f t="shared" si="6"/>
        <v>0.1105289948308871</v>
      </c>
      <c r="E16" s="4">
        <f t="shared" si="6"/>
        <v>0.20983542775641484</v>
      </c>
      <c r="F16" s="4">
        <f t="shared" si="6"/>
        <v>0.43215386157139168</v>
      </c>
      <c r="G16" s="4">
        <f t="shared" si="6"/>
        <v>0.19993770814609127</v>
      </c>
      <c r="H16" s="4">
        <f t="shared" si="6"/>
        <v>8.7683803825040277E-3</v>
      </c>
      <c r="K16" s="4">
        <f t="shared" ref="K16:K23" si="7">LN(C16)</f>
        <v>-1.3694875176515158</v>
      </c>
      <c r="L16" s="4">
        <f t="shared" si="5"/>
        <v>-2.2024773957847001</v>
      </c>
      <c r="M16" s="4">
        <f t="shared" si="5"/>
        <v>-1.5614317328506948</v>
      </c>
      <c r="N16" s="4">
        <f t="shared" si="5"/>
        <v>-0.83897359310342778</v>
      </c>
      <c r="O16" s="4">
        <f t="shared" si="5"/>
        <v>-1.6097494202171558</v>
      </c>
      <c r="P16" s="4">
        <f t="shared" si="5"/>
        <v>-4.7366031666764323</v>
      </c>
    </row>
    <row r="17" spans="2:16" x14ac:dyDescent="0.25">
      <c r="C17" s="4">
        <f t="shared" ref="C17:H17" si="8">C4/C12</f>
        <v>0.25423721825899104</v>
      </c>
      <c r="D17" s="4">
        <f t="shared" si="8"/>
        <v>0.11446085630708466</v>
      </c>
      <c r="E17" s="4">
        <f t="shared" si="8"/>
        <v>0.39914347671057171</v>
      </c>
      <c r="F17" s="4">
        <f t="shared" si="8"/>
        <v>0.19022157154638183</v>
      </c>
      <c r="G17" s="4">
        <f t="shared" si="8"/>
        <v>0.17177746756213474</v>
      </c>
      <c r="H17" s="4">
        <f t="shared" si="8"/>
        <v>1.0753556636598268E-2</v>
      </c>
      <c r="K17" s="4">
        <f t="shared" si="7"/>
        <v>-1.3694875176515158</v>
      </c>
      <c r="L17" s="4">
        <f t="shared" si="5"/>
        <v>-2.1675223807511235</v>
      </c>
      <c r="M17" s="4">
        <f t="shared" si="5"/>
        <v>-0.91843433597622115</v>
      </c>
      <c r="N17" s="4">
        <f t="shared" si="5"/>
        <v>-1.6595657202314933</v>
      </c>
      <c r="O17" s="4">
        <f t="shared" si="5"/>
        <v>-1.7615554330851602</v>
      </c>
      <c r="P17" s="4">
        <f t="shared" si="5"/>
        <v>-4.5325187292111115</v>
      </c>
    </row>
    <row r="18" spans="2:16" x14ac:dyDescent="0.25">
      <c r="C18" s="4">
        <f t="shared" ref="C18:H18" si="9">C5/C12</f>
        <v>0.24764144137019645</v>
      </c>
      <c r="D18" s="4">
        <f t="shared" si="9"/>
        <v>0.27523030333382953</v>
      </c>
      <c r="E18" s="4">
        <f t="shared" si="9"/>
        <v>0.17334230988573399</v>
      </c>
      <c r="F18" s="4">
        <f t="shared" si="9"/>
        <v>9.6034191460309254E-2</v>
      </c>
      <c r="G18" s="4">
        <f t="shared" si="9"/>
        <v>0.27202792404101994</v>
      </c>
      <c r="H18" s="4">
        <f t="shared" si="9"/>
        <v>1.4624339175929358E-2</v>
      </c>
      <c r="K18" s="4">
        <f t="shared" si="7"/>
        <v>-1.3957733799224408</v>
      </c>
      <c r="L18" s="4">
        <f t="shared" si="5"/>
        <v>-1.2901470651266422</v>
      </c>
      <c r="M18" s="4">
        <f t="shared" si="5"/>
        <v>-1.7524869696134042</v>
      </c>
      <c r="N18" s="4">
        <f t="shared" si="5"/>
        <v>-2.3430509898797021</v>
      </c>
      <c r="O18" s="4">
        <f t="shared" si="5"/>
        <v>-1.3018505560399991</v>
      </c>
      <c r="P18" s="4">
        <f t="shared" si="5"/>
        <v>-4.2250680714369082</v>
      </c>
    </row>
    <row r="19" spans="2:16" x14ac:dyDescent="0.25">
      <c r="C19" s="4">
        <f t="shared" ref="C19:H19" si="10">C6/C12</f>
        <v>0.24764144137019645</v>
      </c>
      <c r="D19" s="4">
        <f t="shared" si="10"/>
        <v>6.2909783619161039E-2</v>
      </c>
      <c r="E19" s="4">
        <f t="shared" si="10"/>
        <v>0.50862283032261424</v>
      </c>
      <c r="F19" s="4">
        <f t="shared" si="10"/>
        <v>0.32873242461413554</v>
      </c>
      <c r="G19" s="4">
        <f t="shared" si="10"/>
        <v>0.10700891421903477</v>
      </c>
      <c r="H19" s="4">
        <f t="shared" si="10"/>
        <v>1.0784672251866204E-2</v>
      </c>
      <c r="K19" s="4">
        <f t="shared" si="7"/>
        <v>-1.3957733799224408</v>
      </c>
      <c r="L19" s="4">
        <f t="shared" si="5"/>
        <v>-2.7660535849362198</v>
      </c>
      <c r="M19" s="4">
        <f t="shared" si="5"/>
        <v>-0.67604853843961643</v>
      </c>
      <c r="N19" s="4">
        <f t="shared" si="5"/>
        <v>-1.1125111581690441</v>
      </c>
      <c r="O19" s="4">
        <f t="shared" si="5"/>
        <v>-2.2348431375320854</v>
      </c>
      <c r="P19" s="4">
        <f t="shared" si="5"/>
        <v>-4.5296293888595072</v>
      </c>
    </row>
    <row r="20" spans="2:16" x14ac:dyDescent="0.25">
      <c r="C20" s="4">
        <f t="shared" ref="C20:H20" si="11">C7/C12</f>
        <v>0.22485603029981518</v>
      </c>
      <c r="D20" s="4">
        <f t="shared" si="11"/>
        <v>0.31891765306935804</v>
      </c>
      <c r="E20" s="4">
        <f t="shared" si="11"/>
        <v>0.36493117870680841</v>
      </c>
      <c r="F20" s="4">
        <f t="shared" si="11"/>
        <v>0.26224721514161375</v>
      </c>
      <c r="G20" s="4">
        <f t="shared" si="11"/>
        <v>0.29990656221913692</v>
      </c>
      <c r="H20" s="4">
        <f t="shared" si="11"/>
        <v>8.6750335367002218E-2</v>
      </c>
      <c r="K20" s="4">
        <f t="shared" si="7"/>
        <v>-1.4922949469130626</v>
      </c>
      <c r="L20" s="4">
        <f t="shared" si="5"/>
        <v>-1.1428223503697836</v>
      </c>
      <c r="M20" s="4">
        <f t="shared" si="5"/>
        <v>-1.0080464946659082</v>
      </c>
      <c r="N20" s="4">
        <f t="shared" si="5"/>
        <v>-1.3384676508598685</v>
      </c>
      <c r="O20" s="4">
        <f t="shared" si="5"/>
        <v>-1.2042843121089915</v>
      </c>
      <c r="P20" s="4">
        <f t="shared" si="5"/>
        <v>-2.4447209942605981</v>
      </c>
    </row>
    <row r="21" spans="2:16" x14ac:dyDescent="0.25">
      <c r="C21" s="4">
        <f t="shared" ref="C21:H21" si="12">C8/C12</f>
        <v>0.25183875393579302</v>
      </c>
      <c r="D21" s="4">
        <f t="shared" si="12"/>
        <v>0.33726633995827998</v>
      </c>
      <c r="E21" s="4">
        <f t="shared" si="12"/>
        <v>9.5794434410537213E-2</v>
      </c>
      <c r="F21" s="4">
        <f t="shared" si="12"/>
        <v>7.5903947481129053E-3</v>
      </c>
      <c r="G21" s="4">
        <f t="shared" si="12"/>
        <v>0.43423090980460949</v>
      </c>
      <c r="H21" s="4">
        <f t="shared" si="12"/>
        <v>9.9445506396319633E-2</v>
      </c>
      <c r="K21" s="4">
        <f t="shared" si="7"/>
        <v>-1.3789662616060594</v>
      </c>
      <c r="L21" s="4">
        <f t="shared" si="5"/>
        <v>-1.0868823344874443</v>
      </c>
      <c r="M21" s="4">
        <f t="shared" si="5"/>
        <v>-2.3455506916163666</v>
      </c>
      <c r="N21" s="4">
        <f t="shared" si="5"/>
        <v>-4.8808716799529863</v>
      </c>
      <c r="O21" s="4">
        <f t="shared" si="5"/>
        <v>-0.83417883612924226</v>
      </c>
      <c r="P21" s="4">
        <f t="shared" si="5"/>
        <v>-2.3081454592548472</v>
      </c>
    </row>
    <row r="22" spans="2:16" x14ac:dyDescent="0.25">
      <c r="C22" s="4">
        <f t="shared" ref="C22:H22" si="13">C9/C12</f>
        <v>0.7111446718282155</v>
      </c>
      <c r="D22" s="4">
        <f t="shared" si="13"/>
        <v>0.76977110234001211</v>
      </c>
      <c r="E22" s="4">
        <f t="shared" si="13"/>
        <v>6.4091038260383232E-2</v>
      </c>
      <c r="F22" s="4">
        <f t="shared" si="13"/>
        <v>0.49863907104391353</v>
      </c>
      <c r="G22" s="4">
        <f t="shared" si="13"/>
        <v>0.70400601459891299</v>
      </c>
      <c r="H22" s="4">
        <f t="shared" si="13"/>
        <v>0.99072119013104398</v>
      </c>
      <c r="K22" s="4">
        <f t="shared" si="7"/>
        <v>-0.34087939332580275</v>
      </c>
      <c r="L22" s="4">
        <f t="shared" si="5"/>
        <v>-0.2616620780160957</v>
      </c>
      <c r="M22" s="4">
        <f t="shared" si="5"/>
        <v>-2.7474507335600351</v>
      </c>
      <c r="N22" s="4">
        <f t="shared" si="5"/>
        <v>-0.69587274946275435</v>
      </c>
      <c r="O22" s="4">
        <f t="shared" si="5"/>
        <v>-0.35096837939622477</v>
      </c>
      <c r="P22" s="4">
        <f t="shared" si="5"/>
        <v>-9.3221261826933847E-3</v>
      </c>
    </row>
    <row r="23" spans="2:16" x14ac:dyDescent="0.25">
      <c r="C23" s="4">
        <f t="shared" ref="C23:H23" si="14">C10/C12</f>
        <v>0.25483683433979054</v>
      </c>
      <c r="D23" s="4">
        <f t="shared" si="14"/>
        <v>0.28921025524919863</v>
      </c>
      <c r="E23" s="4">
        <f t="shared" si="14"/>
        <v>0.54739676806021265</v>
      </c>
      <c r="F23" s="4">
        <f t="shared" si="14"/>
        <v>0.41737937057749791</v>
      </c>
      <c r="G23" s="4">
        <f t="shared" si="14"/>
        <v>0.25259735803808997</v>
      </c>
      <c r="H23" s="4">
        <f t="shared" si="14"/>
        <v>2.1532005765410884E-2</v>
      </c>
      <c r="K23" s="4">
        <f t="shared" si="7"/>
        <v>-1.3671318039590568</v>
      </c>
      <c r="L23" s="4">
        <f t="shared" si="5"/>
        <v>-1.2406013285752124</v>
      </c>
      <c r="M23" s="4">
        <f t="shared" si="5"/>
        <v>-0.60258138655774385</v>
      </c>
      <c r="N23" s="4">
        <f t="shared" si="5"/>
        <v>-0.87375970918884349</v>
      </c>
      <c r="O23" s="4">
        <f t="shared" si="5"/>
        <v>-1.3759585281937208</v>
      </c>
      <c r="P23" s="4">
        <f t="shared" si="5"/>
        <v>-3.8382148105233429</v>
      </c>
    </row>
    <row r="25" spans="2:16" x14ac:dyDescent="0.25">
      <c r="B25" s="6" t="s">
        <v>117</v>
      </c>
      <c r="C25" s="4">
        <f>1/LN(9)</f>
        <v>0.45511961331341866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9"/>
  <sheetViews>
    <sheetView topLeftCell="A7" workbookViewId="0">
      <selection activeCell="B4" sqref="B4:B5"/>
    </sheetView>
  </sheetViews>
  <sheetFormatPr baseColWidth="10" defaultRowHeight="15" x14ac:dyDescent="0.25"/>
  <cols>
    <col min="4" max="4" width="14" customWidth="1"/>
    <col min="5" max="5" width="14.28515625" customWidth="1"/>
    <col min="6" max="6" width="13.85546875" customWidth="1"/>
  </cols>
  <sheetData>
    <row r="2" spans="1:28" x14ac:dyDescent="0.25"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AB2" s="6" t="s">
        <v>137</v>
      </c>
    </row>
    <row r="3" spans="1:28" ht="81" x14ac:dyDescent="0.25">
      <c r="A3" s="6" t="s">
        <v>110</v>
      </c>
      <c r="B3" s="6" t="s">
        <v>0</v>
      </c>
      <c r="C3" s="12" t="s">
        <v>202</v>
      </c>
      <c r="D3" s="12" t="s">
        <v>203</v>
      </c>
      <c r="E3" s="12" t="s">
        <v>204</v>
      </c>
      <c r="F3" s="13" t="s">
        <v>205</v>
      </c>
      <c r="G3" s="12" t="s">
        <v>206</v>
      </c>
      <c r="H3" s="12" t="s">
        <v>207</v>
      </c>
      <c r="I3" s="12" t="s">
        <v>208</v>
      </c>
      <c r="J3" s="12"/>
      <c r="K3" s="12"/>
      <c r="L3" s="6" t="s">
        <v>126</v>
      </c>
      <c r="M3" s="1">
        <f t="shared" ref="M3:R3" si="0">C17*C19</f>
        <v>0.12096108308774156</v>
      </c>
      <c r="N3" s="1">
        <f t="shared" si="0"/>
        <v>2.4455746193089455E-2</v>
      </c>
      <c r="O3" s="1">
        <f t="shared" si="0"/>
        <v>6.7488980395455797E-2</v>
      </c>
      <c r="P3" s="1">
        <f t="shared" si="0"/>
        <v>8.110185496951558E-2</v>
      </c>
      <c r="Q3" s="1">
        <f t="shared" si="0"/>
        <v>4.33149179131294E-2</v>
      </c>
      <c r="R3" s="1">
        <f t="shared" si="0"/>
        <v>6.0940884850976609E-2</v>
      </c>
      <c r="AA3" s="1">
        <f>(M3-M14)^2+(N3-N14)^2+(O3-O14)^2+(P3-P14)^2+(Q3-Q14)^2+(R3-R14)^2</f>
        <v>2.8238122611756018E-2</v>
      </c>
      <c r="AB3" s="8">
        <f>SQRT(AA3)</f>
        <v>0.16804202632602364</v>
      </c>
    </row>
    <row r="4" spans="1:28" ht="45" x14ac:dyDescent="0.25">
      <c r="A4">
        <v>1</v>
      </c>
      <c r="B4" s="11" t="s">
        <v>227</v>
      </c>
      <c r="C4">
        <v>435.86599999999999</v>
      </c>
      <c r="D4">
        <v>0.35701899999999998</v>
      </c>
      <c r="E4">
        <v>477.745</v>
      </c>
      <c r="F4">
        <v>7.8</v>
      </c>
      <c r="G4">
        <v>0.28999999999999998</v>
      </c>
      <c r="H4">
        <v>200</v>
      </c>
      <c r="I4">
        <v>322</v>
      </c>
      <c r="M4" s="1">
        <f t="shared" ref="M4:R4" si="1">C17*C20</f>
        <v>7.6317716566855237E-2</v>
      </c>
      <c r="N4" s="1">
        <f t="shared" si="1"/>
        <v>2.3838014590095553E-2</v>
      </c>
      <c r="O4" s="1">
        <f t="shared" si="1"/>
        <v>7.3493620110553257E-2</v>
      </c>
      <c r="P4" s="1">
        <f t="shared" si="1"/>
        <v>8.110185496951558E-2</v>
      </c>
      <c r="Q4" s="1">
        <f t="shared" si="1"/>
        <v>4.33149179131294E-2</v>
      </c>
      <c r="R4" s="1">
        <f t="shared" si="1"/>
        <v>6.0940884850976609E-2</v>
      </c>
      <c r="AA4" s="1">
        <f>(M4-M14)^2+(N4-N14)^2+(O4-O14)^2+(P4-P14)^2+(Q4-Q14)^2+(R4-R14)^2</f>
        <v>2.0247649991848252E-2</v>
      </c>
      <c r="AB4" s="8">
        <f t="shared" ref="AB4:AB11" si="2">SQRT(AA4)</f>
        <v>0.14229423738102767</v>
      </c>
    </row>
    <row r="5" spans="1:28" x14ac:dyDescent="0.25">
      <c r="A5">
        <v>2</v>
      </c>
      <c r="B5" s="11" t="s">
        <v>226</v>
      </c>
      <c r="C5">
        <v>275</v>
      </c>
      <c r="D5">
        <v>0.348001</v>
      </c>
      <c r="E5">
        <v>520.25099999999998</v>
      </c>
      <c r="F5">
        <v>7.8</v>
      </c>
      <c r="G5">
        <v>0.28999999999999998</v>
      </c>
      <c r="H5">
        <v>200</v>
      </c>
      <c r="I5">
        <v>270</v>
      </c>
      <c r="M5" s="1">
        <f t="shared" ref="M5:R5" si="3">C17*C21</f>
        <v>1.3875948466700953E-2</v>
      </c>
      <c r="N5" s="1">
        <f t="shared" si="3"/>
        <v>1.5755649368443992E-3</v>
      </c>
      <c r="O5" s="1">
        <f t="shared" si="3"/>
        <v>0.12314173183949596</v>
      </c>
      <c r="P5" s="1">
        <f t="shared" si="3"/>
        <v>4.6165671290339647E-2</v>
      </c>
      <c r="Q5" s="1">
        <f t="shared" si="3"/>
        <v>1.4936178590734279E-2</v>
      </c>
      <c r="R5" s="1">
        <f t="shared" si="3"/>
        <v>2.7423398182939478E-2</v>
      </c>
      <c r="AA5" s="1">
        <f>(M5-M14)^2+(N5-N14)^2+(O5-O14)^2+(P5-P14)^2+(Q5-Q14)^2+(R5-R14)^2</f>
        <v>1.8836691020275135E-2</v>
      </c>
      <c r="AB5" s="8">
        <f t="shared" si="2"/>
        <v>0.1372468251737545</v>
      </c>
    </row>
    <row r="6" spans="1:28" ht="45" x14ac:dyDescent="0.25">
      <c r="A6">
        <v>3</v>
      </c>
      <c r="B6" s="11" t="s">
        <v>198</v>
      </c>
      <c r="C6">
        <v>50</v>
      </c>
      <c r="D6">
        <v>2.3001000000000001E-2</v>
      </c>
      <c r="E6">
        <v>871.70299999999997</v>
      </c>
      <c r="F6">
        <v>4.4400000000000004</v>
      </c>
      <c r="G6">
        <v>0.1</v>
      </c>
      <c r="H6">
        <v>90</v>
      </c>
      <c r="I6">
        <v>60</v>
      </c>
      <c r="M6" s="1">
        <f t="shared" ref="M6:R6" si="4">C17*C22</f>
        <v>0.16651138160041146</v>
      </c>
      <c r="N6" s="1">
        <f t="shared" si="4"/>
        <v>5.8225553322338502E-2</v>
      </c>
      <c r="O6" s="1">
        <f t="shared" si="4"/>
        <v>7.1315020531994164E-2</v>
      </c>
      <c r="P6" s="1">
        <f t="shared" si="4"/>
        <v>8.1621738655217602E-2</v>
      </c>
      <c r="Q6" s="1">
        <f t="shared" si="4"/>
        <v>4.33149179131294E-2</v>
      </c>
      <c r="R6" s="1">
        <f t="shared" si="4"/>
        <v>6.0940884850976609E-2</v>
      </c>
      <c r="AA6" s="1">
        <f>(M6-M14)^2+(N6-N14)^2+(O6-O14)^2+(P6-P14)^2+(Q6-Q14)^2+(R6-R14)^2</f>
        <v>4.474037775057086E-2</v>
      </c>
      <c r="AB6" s="8">
        <f t="shared" si="2"/>
        <v>0.2115192136676261</v>
      </c>
    </row>
    <row r="7" spans="1:28" x14ac:dyDescent="0.25">
      <c r="A7">
        <v>4</v>
      </c>
      <c r="B7" s="11" t="s">
        <v>199</v>
      </c>
      <c r="C7">
        <v>600</v>
      </c>
      <c r="D7">
        <v>0.85001000000000004</v>
      </c>
      <c r="E7">
        <v>504.82900000000001</v>
      </c>
      <c r="F7">
        <v>7.85</v>
      </c>
      <c r="G7">
        <v>0.28999999999999998</v>
      </c>
      <c r="H7">
        <v>200</v>
      </c>
      <c r="I7">
        <v>675</v>
      </c>
      <c r="M7" s="1">
        <f t="shared" ref="M7:R7" si="5">C17*C23</f>
        <v>0.15263543313371047</v>
      </c>
      <c r="N7" s="1">
        <f t="shared" si="5"/>
        <v>2.4420674272404953E-2</v>
      </c>
      <c r="O7" s="1">
        <f t="shared" si="5"/>
        <v>8.1366357402285788E-2</v>
      </c>
      <c r="P7" s="1">
        <f t="shared" si="5"/>
        <v>8.1829692129498421E-2</v>
      </c>
      <c r="Q7" s="1">
        <f t="shared" si="5"/>
        <v>4.33149179131294E-2</v>
      </c>
      <c r="R7" s="1">
        <f t="shared" si="5"/>
        <v>6.0940884850976609E-2</v>
      </c>
      <c r="AA7" s="1">
        <f>(M7-M14)^2+(N7-N14)^2+(O7-O14)^2+(P7-P14)^2+(Q7-Q14)^2+(R7-R14)^2</f>
        <v>3.9086709524580439E-2</v>
      </c>
      <c r="AB7" s="8">
        <f t="shared" si="2"/>
        <v>0.19770359006497693</v>
      </c>
    </row>
    <row r="8" spans="1:28" x14ac:dyDescent="0.25">
      <c r="A8">
        <v>5</v>
      </c>
      <c r="B8" s="11" t="s">
        <v>200</v>
      </c>
      <c r="C8">
        <v>550</v>
      </c>
      <c r="D8">
        <v>0.35650700000000002</v>
      </c>
      <c r="E8">
        <v>575.98099999999999</v>
      </c>
      <c r="F8">
        <v>7.87</v>
      </c>
      <c r="G8">
        <v>0.28999999999999998</v>
      </c>
      <c r="H8">
        <v>200</v>
      </c>
      <c r="I8">
        <v>420</v>
      </c>
      <c r="M8" s="1">
        <f t="shared" ref="M8:R8" si="6">C17*C24</f>
        <v>0.11405641113071116</v>
      </c>
      <c r="N8" s="1">
        <f t="shared" si="6"/>
        <v>3.2948425486811705E-2</v>
      </c>
      <c r="O8" s="1">
        <f t="shared" si="6"/>
        <v>7.4898083669756657E-2</v>
      </c>
      <c r="P8" s="1">
        <f t="shared" si="6"/>
        <v>8.1850487476926498E-2</v>
      </c>
      <c r="Q8" s="1">
        <f t="shared" si="6"/>
        <v>4.33149179131294E-2</v>
      </c>
      <c r="R8" s="1">
        <f t="shared" si="6"/>
        <v>6.0940884850976609E-2</v>
      </c>
      <c r="AA8" s="1">
        <f>(M8-M14)^2+(N8-N14)^2+(O8-O14)^2+(P8-P14)^2+(Q8-Q14)^2+(R8-R14)^2</f>
        <v>2.8279871013511305E-2</v>
      </c>
      <c r="AB8" s="8">
        <f t="shared" si="2"/>
        <v>0.16816620056810258</v>
      </c>
    </row>
    <row r="9" spans="1:28" ht="30" x14ac:dyDescent="0.25">
      <c r="A9">
        <v>6</v>
      </c>
      <c r="B9" s="11" t="s">
        <v>201</v>
      </c>
      <c r="C9">
        <v>410.98599999999999</v>
      </c>
      <c r="D9">
        <v>0.48099999999999998</v>
      </c>
      <c r="E9">
        <v>530.19299999999998</v>
      </c>
      <c r="F9">
        <v>7.8719999999999999</v>
      </c>
      <c r="G9">
        <v>0.28999999999999998</v>
      </c>
      <c r="H9">
        <v>200</v>
      </c>
      <c r="I9">
        <v>330</v>
      </c>
      <c r="M9" s="1">
        <f t="shared" ref="M9:R9" si="7">C17*C25</f>
        <v>0</v>
      </c>
      <c r="N9" s="1">
        <f t="shared" si="7"/>
        <v>0</v>
      </c>
      <c r="O9" s="1">
        <f t="shared" si="7"/>
        <v>0</v>
      </c>
      <c r="P9" s="1">
        <f t="shared" si="7"/>
        <v>0</v>
      </c>
      <c r="Q9" s="1">
        <f t="shared" si="7"/>
        <v>0</v>
      </c>
      <c r="R9" s="1">
        <f t="shared" si="7"/>
        <v>0</v>
      </c>
      <c r="AA9" s="1">
        <f>(M9-M14)^2+(N9-N14)^2+(O9-O14)^2+(P9-P14)^2+(Q9-Q14)^2+(R9-R14)^2</f>
        <v>3.7137914464199905E-3</v>
      </c>
      <c r="AB9" s="8">
        <f t="shared" si="2"/>
        <v>6.0940884850976609E-2</v>
      </c>
    </row>
    <row r="10" spans="1:28" x14ac:dyDescent="0.25">
      <c r="A10">
        <v>7</v>
      </c>
      <c r="B10" t="s">
        <v>107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M10" s="1">
        <f>C17*C26</f>
        <v>0</v>
      </c>
      <c r="N10" s="1">
        <f t="shared" ref="N10:R10" si="8">D17*D26</f>
        <v>0</v>
      </c>
      <c r="O10" s="1">
        <f t="shared" si="8"/>
        <v>0</v>
      </c>
      <c r="P10" s="1">
        <f t="shared" si="8"/>
        <v>0</v>
      </c>
      <c r="Q10" s="1">
        <f t="shared" si="8"/>
        <v>0</v>
      </c>
      <c r="R10" s="1">
        <f t="shared" si="8"/>
        <v>0</v>
      </c>
      <c r="AA10" s="1">
        <f>(M10-M14)^2+(N10-N14)^2+(O10-O14)^2+(P10-P14)^2+(Q10-Q14)^2+(R10-R14)^2</f>
        <v>3.7137914464199905E-3</v>
      </c>
      <c r="AB10" s="8">
        <f t="shared" si="2"/>
        <v>6.0940884850976609E-2</v>
      </c>
    </row>
    <row r="11" spans="1:28" x14ac:dyDescent="0.25">
      <c r="A11">
        <v>8</v>
      </c>
      <c r="B11" t="s">
        <v>108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M11" s="1">
        <f t="shared" ref="M11:R11" si="9">C17*C27</f>
        <v>0</v>
      </c>
      <c r="N11" s="1">
        <f t="shared" si="9"/>
        <v>0</v>
      </c>
      <c r="O11" s="1">
        <f t="shared" si="9"/>
        <v>0</v>
      </c>
      <c r="P11" s="1">
        <f t="shared" si="9"/>
        <v>0</v>
      </c>
      <c r="Q11" s="1">
        <f t="shared" si="9"/>
        <v>0</v>
      </c>
      <c r="R11" s="1">
        <f t="shared" si="9"/>
        <v>0</v>
      </c>
      <c r="AA11" s="1">
        <f>(M11-M14)^2+(N11-N14)^2+(O11-O14)^2+(P11-P14)^2+(Q11-Q14)^2+(R11-R14)^2</f>
        <v>3.7137914464199905E-3</v>
      </c>
      <c r="AB11" s="8">
        <f t="shared" si="2"/>
        <v>6.0940884850976609E-2</v>
      </c>
    </row>
    <row r="12" spans="1:28" x14ac:dyDescent="0.25">
      <c r="A12">
        <v>9</v>
      </c>
      <c r="B12" t="s">
        <v>109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T12" t="s">
        <v>128</v>
      </c>
      <c r="AA12" s="6" t="s">
        <v>128</v>
      </c>
      <c r="AB12" s="6" t="s">
        <v>129</v>
      </c>
    </row>
    <row r="13" spans="1:28" x14ac:dyDescent="0.25">
      <c r="B13" s="6" t="s">
        <v>124</v>
      </c>
      <c r="C13" s="7">
        <f>SUM(C4^2+C5^2+C6^2+C7^2+C8^2+C9^2)</f>
        <v>1099513.662152</v>
      </c>
      <c r="D13" s="7">
        <f>SUMSQ(D4:D9)</f>
        <v>1.3300715495120001</v>
      </c>
      <c r="E13" s="7">
        <f>SUMSQ(E4:E9)</f>
        <v>2126478.5570859998</v>
      </c>
      <c r="F13" s="7">
        <f>SUMSQ(F4:F9)</f>
        <v>326.92138399999999</v>
      </c>
      <c r="G13" s="7">
        <f t="shared" ref="G13:I13" si="10">SUMSQ(G4:G9)</f>
        <v>0.43049999999999999</v>
      </c>
      <c r="H13" s="7">
        <f t="shared" si="10"/>
        <v>208100</v>
      </c>
      <c r="I13" s="7">
        <f t="shared" si="10"/>
        <v>921109</v>
      </c>
      <c r="J13" s="7"/>
      <c r="L13" s="6" t="s">
        <v>132</v>
      </c>
      <c r="M13" s="1">
        <f>MAX(M3:M11)</f>
        <v>0.16651138160041146</v>
      </c>
      <c r="N13">
        <f>MAX(N3:N11)</f>
        <v>5.8225553322338502E-2</v>
      </c>
      <c r="O13">
        <f>MAX(O3:O11)</f>
        <v>0.12314173183949596</v>
      </c>
      <c r="P13">
        <f>MAX(P3:P11)</f>
        <v>8.1850487476926498E-2</v>
      </c>
      <c r="Q13">
        <f>MAX(Q3:Q11)</f>
        <v>4.33149179131294E-2</v>
      </c>
      <c r="R13" s="1">
        <f>MIN(R3:R11)</f>
        <v>0</v>
      </c>
      <c r="T13" t="s">
        <v>129</v>
      </c>
    </row>
    <row r="14" spans="1:28" x14ac:dyDescent="0.25">
      <c r="B14" s="6" t="s">
        <v>125</v>
      </c>
      <c r="C14" s="7">
        <f>SQRT(C13)</f>
        <v>1048.5769700656219</v>
      </c>
      <c r="D14" s="7">
        <f>SQRT(D13)</f>
        <v>1.1532872796974742</v>
      </c>
      <c r="E14" s="7">
        <f>SQRT(E13)</f>
        <v>1458.2450264225145</v>
      </c>
      <c r="F14" s="7">
        <f>SQRT(F13)</f>
        <v>18.080967451992162</v>
      </c>
      <c r="G14" s="7">
        <f>SQRT(G13)</f>
        <v>0.65612498809296993</v>
      </c>
      <c r="H14" s="7">
        <f t="shared" ref="H14:I14" si="11">SQRT(H13)</f>
        <v>456.17978911828175</v>
      </c>
      <c r="I14" s="7">
        <f t="shared" si="11"/>
        <v>959.74423676310766</v>
      </c>
      <c r="J14" s="7"/>
      <c r="L14" s="6" t="s">
        <v>133</v>
      </c>
      <c r="M14" s="1">
        <f>MIN(M3:M11)</f>
        <v>0</v>
      </c>
      <c r="N14">
        <f>MIN(N3:N11)</f>
        <v>0</v>
      </c>
      <c r="O14">
        <f>MIN(O3:O11)</f>
        <v>0</v>
      </c>
      <c r="P14">
        <f>MIN(P3:P11)</f>
        <v>0</v>
      </c>
      <c r="Q14">
        <f>MIN(Q3:Q11)</f>
        <v>0</v>
      </c>
      <c r="R14" s="1">
        <f>MAX(R3:R11)</f>
        <v>6.0940884850976609E-2</v>
      </c>
    </row>
    <row r="15" spans="1:28" x14ac:dyDescent="0.25">
      <c r="J15" t="s">
        <v>110</v>
      </c>
      <c r="T15" s="6" t="s">
        <v>136</v>
      </c>
      <c r="W15" t="s">
        <v>110</v>
      </c>
      <c r="Z15" t="s">
        <v>21</v>
      </c>
    </row>
    <row r="16" spans="1:28" x14ac:dyDescent="0.25">
      <c r="C16" t="str">
        <f t="shared" ref="C16:H16" si="12">C3</f>
        <v>ESFUERZO DE VON MISSES (Mpa)</v>
      </c>
      <c r="D16" t="str">
        <f t="shared" si="12"/>
        <v>DEFORMACIÓN PLÁSTICA %</v>
      </c>
      <c r="E16" t="str">
        <f t="shared" si="12"/>
        <v>DESPLAZAMIENTO  EN Z (mm)</v>
      </c>
      <c r="F16" t="str">
        <f t="shared" si="12"/>
        <v>Density  g/cc</v>
      </c>
      <c r="G16" t="str">
        <f t="shared" si="12"/>
        <v>RADIO DE POISON</v>
      </c>
      <c r="H16" t="str">
        <f t="shared" si="12"/>
        <v>MODULO DE YOUNG(Gpas)</v>
      </c>
      <c r="J16">
        <v>1</v>
      </c>
      <c r="L16" s="6" t="s">
        <v>127</v>
      </c>
      <c r="M16" s="15" t="s">
        <v>140</v>
      </c>
      <c r="N16" s="15"/>
      <c r="O16" s="15"/>
      <c r="P16" s="15"/>
      <c r="Q16" s="15"/>
      <c r="R16" s="15"/>
      <c r="S16" s="1">
        <f>(M3-M13)^2+(N3-N13)^2+(O3-O13)^2+(P3-P13)^2+(Q3-Q13)^2+(R3-R13)^2</f>
        <v>1.0026810208483275E-2</v>
      </c>
      <c r="T16" s="1">
        <f>SQRT(S16)</f>
        <v>0.1001339613142478</v>
      </c>
      <c r="W16">
        <v>1</v>
      </c>
      <c r="X16" t="s">
        <v>131</v>
      </c>
      <c r="Y16">
        <f t="shared" ref="Y16:Y23" si="13">AB3/(AB3+T16)</f>
        <v>0.62661100945187342</v>
      </c>
      <c r="Z16">
        <v>6</v>
      </c>
    </row>
    <row r="17" spans="2:26" x14ac:dyDescent="0.25">
      <c r="B17" s="6" t="s">
        <v>123</v>
      </c>
      <c r="C17">
        <v>0.29099999999999998</v>
      </c>
      <c r="D17">
        <v>7.9000000000000001E-2</v>
      </c>
      <c r="E17">
        <v>0.20599999999999999</v>
      </c>
      <c r="F17">
        <v>0.188</v>
      </c>
      <c r="G17">
        <v>9.8000000000000004E-2</v>
      </c>
      <c r="H17">
        <v>0.13900000000000001</v>
      </c>
      <c r="J17">
        <v>2</v>
      </c>
      <c r="M17" s="15"/>
      <c r="N17" s="15"/>
      <c r="O17" s="15"/>
      <c r="P17" s="15"/>
      <c r="Q17" s="15"/>
      <c r="R17" s="15"/>
      <c r="S17" s="1">
        <f>(M4-M13)^2+(N4-N13)^2+(O4-O13)^2+(P4-P13)^2+(Q4-Q13)^2+(R4-R13)^2</f>
        <v>1.5496686927547573E-2</v>
      </c>
      <c r="T17" s="1">
        <f t="shared" ref="T17:T24" si="14">SQRT(S17)</f>
        <v>0.12448568964964436</v>
      </c>
      <c r="W17">
        <v>2</v>
      </c>
      <c r="Y17">
        <f t="shared" si="13"/>
        <v>0.53337685096775633</v>
      </c>
      <c r="Z17">
        <v>6</v>
      </c>
    </row>
    <row r="18" spans="2:26" x14ac:dyDescent="0.25">
      <c r="J18">
        <v>3</v>
      </c>
      <c r="M18" s="15"/>
      <c r="N18" s="15"/>
      <c r="O18" s="15"/>
      <c r="P18" s="15"/>
      <c r="Q18" s="15"/>
      <c r="R18" s="15"/>
      <c r="S18" s="1">
        <f>(M5-M13)^2+(N5-N13)^2+(O5-O13)^2+(P5-P13)^2+(Q5-Q13)^2+(R5-R13)^2</f>
        <v>2.933759835169102E-2</v>
      </c>
      <c r="T18" s="1">
        <f t="shared" si="14"/>
        <v>0.17128221843405408</v>
      </c>
      <c r="W18">
        <v>3</v>
      </c>
      <c r="Y18">
        <f t="shared" si="13"/>
        <v>0.44484248085317341</v>
      </c>
      <c r="Z18">
        <v>5</v>
      </c>
    </row>
    <row r="19" spans="2:26" x14ac:dyDescent="0.25">
      <c r="B19" t="s">
        <v>130</v>
      </c>
      <c r="C19">
        <f t="shared" ref="C19:I19" si="15">C4/C14</f>
        <v>0.41567382504378547</v>
      </c>
      <c r="D19">
        <f t="shared" si="15"/>
        <v>0.30956640750746145</v>
      </c>
      <c r="E19">
        <f t="shared" si="15"/>
        <v>0.32761640968667866</v>
      </c>
      <c r="F19">
        <f t="shared" si="15"/>
        <v>0.43139284558252966</v>
      </c>
      <c r="G19">
        <f t="shared" si="15"/>
        <v>0.44198895829723878</v>
      </c>
      <c r="H19">
        <f t="shared" si="15"/>
        <v>0.43842363202141443</v>
      </c>
      <c r="I19">
        <f t="shared" si="15"/>
        <v>0.33550605220198765</v>
      </c>
      <c r="J19">
        <v>4</v>
      </c>
      <c r="M19" s="15"/>
      <c r="N19" s="15"/>
      <c r="O19" s="15"/>
      <c r="P19" s="15"/>
      <c r="Q19" s="15"/>
      <c r="R19" s="15"/>
      <c r="S19" s="1">
        <f>(M6-M13)^2+(N6-N13)^2+(O6-O13)^2+(P6-P13)^2+(Q6-Q13)^2+(R6-R13)^2</f>
        <v>6.3998517773945583E-3</v>
      </c>
      <c r="T19" s="1">
        <f t="shared" si="14"/>
        <v>7.9999073603352178E-2</v>
      </c>
      <c r="W19">
        <v>4</v>
      </c>
      <c r="Y19">
        <f t="shared" si="13"/>
        <v>0.72557785533025676</v>
      </c>
      <c r="Z19">
        <v>8</v>
      </c>
    </row>
    <row r="20" spans="2:26" x14ac:dyDescent="0.25">
      <c r="C20">
        <f t="shared" ref="C20:I20" si="16">C5/C14</f>
        <v>0.26226019438781872</v>
      </c>
      <c r="D20">
        <f t="shared" si="16"/>
        <v>0.30174702012779181</v>
      </c>
      <c r="E20">
        <f t="shared" si="16"/>
        <v>0.3567651461677343</v>
      </c>
      <c r="F20">
        <f t="shared" si="16"/>
        <v>0.43139284558252966</v>
      </c>
      <c r="G20">
        <f t="shared" si="16"/>
        <v>0.44198895829723878</v>
      </c>
      <c r="H20">
        <f t="shared" si="16"/>
        <v>0.43842363202141443</v>
      </c>
      <c r="I20">
        <f t="shared" si="16"/>
        <v>0.28132495060415114</v>
      </c>
      <c r="J20">
        <v>5</v>
      </c>
      <c r="S20" s="1">
        <f>(M7-M13)^2+(N7-N13)^2+(O7-O13)^2+(P7-P13)^2+(Q7-Q13)^2+(R7-R13)^2</f>
        <v>6.7942855816667562E-3</v>
      </c>
      <c r="T20" s="1">
        <f t="shared" si="14"/>
        <v>8.2427456479420472E-2</v>
      </c>
      <c r="W20">
        <v>5</v>
      </c>
      <c r="Y20">
        <f t="shared" si="13"/>
        <v>0.70575394089224341</v>
      </c>
      <c r="Z20">
        <v>3</v>
      </c>
    </row>
    <row r="21" spans="2:26" x14ac:dyDescent="0.25">
      <c r="C21">
        <f t="shared" ref="C21:I21" si="17">C6/C14</f>
        <v>4.7683671706876131E-2</v>
      </c>
      <c r="D21">
        <f t="shared" si="17"/>
        <v>1.9943859960055686E-2</v>
      </c>
      <c r="E21">
        <f t="shared" si="17"/>
        <v>0.59777539727910667</v>
      </c>
      <c r="F21">
        <f t="shared" si="17"/>
        <v>0.24556208133159385</v>
      </c>
      <c r="G21">
        <f t="shared" si="17"/>
        <v>0.15240998561973754</v>
      </c>
      <c r="H21">
        <f t="shared" si="17"/>
        <v>0.19729063440963651</v>
      </c>
      <c r="I21">
        <f t="shared" si="17"/>
        <v>6.2516655689811365E-2</v>
      </c>
      <c r="J21">
        <v>6</v>
      </c>
      <c r="S21" s="1">
        <f>(M8-M13)^2+(N8-N13)^2+(O8-O13)^2+(P8-P13)^2+(Q8-Q13)^2+(R8-R13)^2</f>
        <v>9.4316981537362742E-3</v>
      </c>
      <c r="T21" s="1">
        <f t="shared" si="14"/>
        <v>9.7116930314627814E-2</v>
      </c>
      <c r="W21">
        <v>6</v>
      </c>
      <c r="Y21">
        <f t="shared" si="13"/>
        <v>0.63391215268203849</v>
      </c>
      <c r="Z21">
        <v>7</v>
      </c>
    </row>
    <row r="22" spans="2:26" x14ac:dyDescent="0.25">
      <c r="C22">
        <f t="shared" ref="C22:I22" si="18">C7/C14</f>
        <v>0.5722040604825136</v>
      </c>
      <c r="D22">
        <f t="shared" si="18"/>
        <v>0.73703232053593037</v>
      </c>
      <c r="E22">
        <f t="shared" si="18"/>
        <v>0.34618942005822412</v>
      </c>
      <c r="F22">
        <f t="shared" si="18"/>
        <v>0.43415818433626385</v>
      </c>
      <c r="G22">
        <f t="shared" si="18"/>
        <v>0.44198895829723878</v>
      </c>
      <c r="H22">
        <f t="shared" si="18"/>
        <v>0.43842363202141443</v>
      </c>
      <c r="I22">
        <f t="shared" si="18"/>
        <v>0.70331237651037781</v>
      </c>
      <c r="J22">
        <v>7</v>
      </c>
      <c r="S22" s="1">
        <f>(M9-M13)^2+(N9-N13)^2+(O9-O13)^2+(P9-P13)^2+(Q9-Q13)^2+(R9-R13)^2</f>
        <v>5.4855825796632299E-2</v>
      </c>
      <c r="T22" s="1">
        <f t="shared" si="14"/>
        <v>0.23421320585447844</v>
      </c>
      <c r="W22">
        <v>7</v>
      </c>
      <c r="Y22">
        <f t="shared" si="13"/>
        <v>0.20647142211486991</v>
      </c>
      <c r="Z22">
        <v>9</v>
      </c>
    </row>
    <row r="23" spans="2:26" x14ac:dyDescent="0.25">
      <c r="C23">
        <f t="shared" ref="C23:I23" si="19">C8/C14</f>
        <v>0.52452038877563745</v>
      </c>
      <c r="D23">
        <f t="shared" si="19"/>
        <v>0.30912245914436648</v>
      </c>
      <c r="E23">
        <f t="shared" si="19"/>
        <v>0.39498231748682422</v>
      </c>
      <c r="F23">
        <f t="shared" si="19"/>
        <v>0.43526431983775754</v>
      </c>
      <c r="G23">
        <f t="shared" si="19"/>
        <v>0.44198895829723878</v>
      </c>
      <c r="H23">
        <f t="shared" si="19"/>
        <v>0.43842363202141443</v>
      </c>
      <c r="I23">
        <f t="shared" si="19"/>
        <v>0.43761658982867957</v>
      </c>
      <c r="J23">
        <v>8</v>
      </c>
      <c r="S23" s="1">
        <f>(M10-M13)^2+(N10-N13)^2+(O10-O13)^2+(P10-P13)^2+(Q10-Q13)^2+(R10-R13)^2</f>
        <v>5.4855825796632299E-2</v>
      </c>
      <c r="T23" s="1">
        <f t="shared" si="14"/>
        <v>0.23421320585447844</v>
      </c>
      <c r="W23">
        <v>8</v>
      </c>
      <c r="Y23">
        <f t="shared" si="13"/>
        <v>0.20647142211486991</v>
      </c>
      <c r="Z23">
        <v>2</v>
      </c>
    </row>
    <row r="24" spans="2:26" x14ac:dyDescent="0.25">
      <c r="C24">
        <f t="shared" ref="C24:I24" si="20">C9/C14</f>
        <v>0.39194643000244389</v>
      </c>
      <c r="D24">
        <f t="shared" si="20"/>
        <v>0.4170686770482494</v>
      </c>
      <c r="E24">
        <f t="shared" si="20"/>
        <v>0.36358293043571194</v>
      </c>
      <c r="F24">
        <f t="shared" si="20"/>
        <v>0.43537493338790689</v>
      </c>
      <c r="G24">
        <f t="shared" si="20"/>
        <v>0.44198895829723878</v>
      </c>
      <c r="H24">
        <f t="shared" si="20"/>
        <v>0.43842363202141443</v>
      </c>
      <c r="I24">
        <f t="shared" si="20"/>
        <v>0.34384160629396249</v>
      </c>
      <c r="J24">
        <v>9</v>
      </c>
      <c r="S24" s="1">
        <f>(M11-M13)^2+(N11-N13)^2+(O11-O13)^2+(P11-P13)^2+(Q11-Q13)^2+(R11-R13)^2</f>
        <v>5.4855825796632299E-2</v>
      </c>
      <c r="T24" s="1">
        <f t="shared" si="14"/>
        <v>0.23421320585447844</v>
      </c>
      <c r="W24">
        <v>9</v>
      </c>
      <c r="Y24">
        <f t="shared" ref="Y24" si="21">AB11/(AB11+T24)</f>
        <v>0.20647142211486991</v>
      </c>
      <c r="Z24">
        <v>1</v>
      </c>
    </row>
    <row r="25" spans="2:26" x14ac:dyDescent="0.25">
      <c r="C25">
        <f t="shared" ref="C25:H25" si="22">C10/C14</f>
        <v>0</v>
      </c>
      <c r="D25">
        <f t="shared" si="22"/>
        <v>0</v>
      </c>
      <c r="E25">
        <f t="shared" si="22"/>
        <v>0</v>
      </c>
      <c r="F25">
        <f t="shared" si="22"/>
        <v>0</v>
      </c>
      <c r="G25">
        <f t="shared" si="22"/>
        <v>0</v>
      </c>
      <c r="H25">
        <f t="shared" si="22"/>
        <v>0</v>
      </c>
      <c r="L25" t="s">
        <v>128</v>
      </c>
      <c r="S25" s="6" t="s">
        <v>128</v>
      </c>
      <c r="T25" s="6" t="s">
        <v>129</v>
      </c>
    </row>
    <row r="26" spans="2:26" x14ac:dyDescent="0.25">
      <c r="C26">
        <f>C11/C14</f>
        <v>0</v>
      </c>
      <c r="D26">
        <f t="shared" ref="D26:H26" si="23">D11/D14</f>
        <v>0</v>
      </c>
      <c r="E26">
        <f t="shared" si="23"/>
        <v>0</v>
      </c>
      <c r="F26">
        <f t="shared" si="23"/>
        <v>0</v>
      </c>
      <c r="G26">
        <f t="shared" si="23"/>
        <v>0</v>
      </c>
      <c r="H26">
        <f t="shared" si="23"/>
        <v>0</v>
      </c>
      <c r="L26" t="s">
        <v>129</v>
      </c>
    </row>
    <row r="27" spans="2:26" x14ac:dyDescent="0.25">
      <c r="C27">
        <f>C12/C14</f>
        <v>0</v>
      </c>
      <c r="D27">
        <f t="shared" ref="D27:H27" si="24">D12/D14</f>
        <v>0</v>
      </c>
      <c r="E27">
        <f t="shared" si="24"/>
        <v>0</v>
      </c>
      <c r="F27">
        <f t="shared" si="24"/>
        <v>0</v>
      </c>
      <c r="G27">
        <f t="shared" si="24"/>
        <v>0</v>
      </c>
      <c r="H27">
        <f t="shared" si="24"/>
        <v>0</v>
      </c>
    </row>
    <row r="28" spans="2:26" x14ac:dyDescent="0.25">
      <c r="M28" t="s">
        <v>135</v>
      </c>
    </row>
    <row r="29" spans="2:26" x14ac:dyDescent="0.25">
      <c r="M29" t="s">
        <v>134</v>
      </c>
    </row>
  </sheetData>
  <mergeCells count="1">
    <mergeCell ref="M16:R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2"/>
  <sheetViews>
    <sheetView workbookViewId="0">
      <selection activeCell="V29" sqref="V29:V32"/>
    </sheetView>
  </sheetViews>
  <sheetFormatPr baseColWidth="10" defaultRowHeight="15" x14ac:dyDescent="0.25"/>
  <sheetData>
    <row r="2" spans="1:26" x14ac:dyDescent="0.25">
      <c r="K2" t="s">
        <v>95</v>
      </c>
      <c r="L2" t="s">
        <v>96</v>
      </c>
      <c r="M2" t="s">
        <v>97</v>
      </c>
      <c r="N2" t="s">
        <v>98</v>
      </c>
      <c r="O2" t="s">
        <v>99</v>
      </c>
      <c r="P2" t="s">
        <v>100</v>
      </c>
      <c r="Z2" s="6" t="s">
        <v>137</v>
      </c>
    </row>
    <row r="3" spans="1:26" x14ac:dyDescent="0.25">
      <c r="A3" s="6" t="s">
        <v>110</v>
      </c>
      <c r="B3" s="6" t="s">
        <v>0</v>
      </c>
      <c r="C3" t="s">
        <v>95</v>
      </c>
      <c r="D3" t="s">
        <v>96</v>
      </c>
      <c r="E3" t="s">
        <v>97</v>
      </c>
      <c r="F3" t="s">
        <v>98</v>
      </c>
      <c r="G3" t="s">
        <v>99</v>
      </c>
      <c r="H3" t="s">
        <v>100</v>
      </c>
      <c r="J3" s="6" t="s">
        <v>126</v>
      </c>
      <c r="K3" s="1">
        <f>C17*C19</f>
        <v>7.328507739531577E-2</v>
      </c>
      <c r="L3" s="1">
        <f t="shared" ref="L3:P3" si="0">D17*D19</f>
        <v>4.5557168304209122E-3</v>
      </c>
      <c r="M3" s="1">
        <f t="shared" si="0"/>
        <v>5.1213529291766723E-2</v>
      </c>
      <c r="N3" s="1">
        <f t="shared" si="0"/>
        <v>7.7078519515143606E-2</v>
      </c>
      <c r="O3" s="1">
        <f t="shared" si="0"/>
        <v>8.2791107316832167E-3</v>
      </c>
      <c r="P3" s="1">
        <f t="shared" si="0"/>
        <v>1.1643089845877988E-3</v>
      </c>
      <c r="Y3" s="1">
        <f>(K3-K14)^2+(L3-L14)^2+(M3-M14)^2+(N3-N14)^2+(O3-O14)^2+(P3-P14)^2</f>
        <v>2.5874418560507598E-2</v>
      </c>
      <c r="Z3" s="8">
        <f>SQRT(Y3)</f>
        <v>0.16085527209422637</v>
      </c>
    </row>
    <row r="4" spans="1:26" x14ac:dyDescent="0.25">
      <c r="A4">
        <v>1</v>
      </c>
      <c r="B4" t="s">
        <v>101</v>
      </c>
      <c r="C4">
        <v>210</v>
      </c>
      <c r="D4">
        <v>330</v>
      </c>
      <c r="E4">
        <v>54.5</v>
      </c>
      <c r="F4">
        <v>1.1100000000000001E-3</v>
      </c>
      <c r="G4">
        <v>150</v>
      </c>
      <c r="H4">
        <v>0.67300000000000004</v>
      </c>
      <c r="K4" s="1">
        <f>C17*C20</f>
        <v>7.3983030513366382E-2</v>
      </c>
      <c r="L4" s="1">
        <f t="shared" ref="L4:P4" si="1">D17*D20</f>
        <v>8.7317905916400804E-3</v>
      </c>
      <c r="M4" s="1">
        <f t="shared" si="1"/>
        <v>4.3226098117821452E-2</v>
      </c>
      <c r="N4" s="1">
        <f t="shared" si="1"/>
        <v>8.1244925975421642E-2</v>
      </c>
      <c r="O4" s="1">
        <f t="shared" si="1"/>
        <v>1.9593895398316945E-2</v>
      </c>
      <c r="P4" s="1">
        <f t="shared" si="1"/>
        <v>1.21880487316806E-3</v>
      </c>
      <c r="Y4" s="1">
        <f>(K4-K14)^2+(L4-L14)^2+(M4-M14)^2+(N4-N14)^2+(O4-O14)^2+(P4-P14)^2</f>
        <v>2.6120781948324109E-2</v>
      </c>
      <c r="Z4" s="8">
        <f t="shared" ref="Z4:Z11" si="2">SQRT(Y4)</f>
        <v>0.1616192499312013</v>
      </c>
    </row>
    <row r="5" spans="1:26" x14ac:dyDescent="0.25">
      <c r="A5">
        <v>2</v>
      </c>
      <c r="B5" t="s">
        <v>102</v>
      </c>
      <c r="C5">
        <v>212</v>
      </c>
      <c r="D5">
        <v>632.5</v>
      </c>
      <c r="E5">
        <v>46</v>
      </c>
      <c r="F5">
        <v>1.17E-3</v>
      </c>
      <c r="G5">
        <v>355</v>
      </c>
      <c r="H5">
        <v>0.70450000000000002</v>
      </c>
      <c r="K5" s="1">
        <f>C17*C21</f>
        <v>7.3983030513366382E-2</v>
      </c>
      <c r="L5" s="1">
        <f t="shared" ref="L5:P5" si="3">D17*D21</f>
        <v>9.0424076482596878E-3</v>
      </c>
      <c r="M5" s="1">
        <f t="shared" si="3"/>
        <v>8.2223556202377771E-2</v>
      </c>
      <c r="N5" s="1">
        <f t="shared" si="3"/>
        <v>3.5761655450719784E-2</v>
      </c>
      <c r="O5" s="1">
        <f t="shared" si="3"/>
        <v>1.6834191821089205E-2</v>
      </c>
      <c r="P5" s="1">
        <f t="shared" si="3"/>
        <v>1.4947443724871595E-3</v>
      </c>
      <c r="S5" s="1"/>
      <c r="Y5" s="1">
        <f>(K5-K14)^2+(L5-L14)^2+(M5-M14)^2+(N5-N14)^2+(O5-O14)^2+(P5-P14)^2</f>
        <v>2.4663823879545237E-2</v>
      </c>
      <c r="Z5" s="8">
        <f t="shared" si="2"/>
        <v>0.15704720271162181</v>
      </c>
    </row>
    <row r="6" spans="1:26" x14ac:dyDescent="0.25">
      <c r="A6">
        <v>3</v>
      </c>
      <c r="B6" t="s">
        <v>103</v>
      </c>
      <c r="C6">
        <v>212</v>
      </c>
      <c r="D6">
        <v>655</v>
      </c>
      <c r="E6">
        <v>87.5</v>
      </c>
      <c r="F6">
        <v>5.1500000000000005E-4</v>
      </c>
      <c r="G6">
        <v>305</v>
      </c>
      <c r="H6">
        <v>0.86399999999999999</v>
      </c>
      <c r="K6" s="1">
        <f>C17*C22</f>
        <v>7.2063659438727168E-2</v>
      </c>
      <c r="L6" s="1">
        <f t="shared" ref="L6:P6" si="4">D17*D22</f>
        <v>2.1743193963372532E-2</v>
      </c>
      <c r="M6" s="1">
        <f t="shared" si="4"/>
        <v>3.5708515836461202E-2</v>
      </c>
      <c r="N6" s="1">
        <f t="shared" si="4"/>
        <v>1.8054427994538141E-2</v>
      </c>
      <c r="O6" s="1">
        <f t="shared" si="4"/>
        <v>2.6658736556019955E-2</v>
      </c>
      <c r="P6" s="1">
        <f t="shared" si="4"/>
        <v>2.0327831454541811E-3</v>
      </c>
      <c r="Y6" s="1">
        <f>(K6-K14)^2+(L6-L14)^2+(M6-M14)^2+(N6-N14)^2+(O6-O14)^2+(P6-P14)^2</f>
        <v>1.986853891705518E-2</v>
      </c>
      <c r="Z6" s="8">
        <f t="shared" si="2"/>
        <v>0.14095580483632159</v>
      </c>
    </row>
    <row r="7" spans="1:26" x14ac:dyDescent="0.25">
      <c r="A7">
        <v>4</v>
      </c>
      <c r="B7" t="s">
        <v>104</v>
      </c>
      <c r="C7">
        <v>206.5</v>
      </c>
      <c r="D7">
        <v>1575</v>
      </c>
      <c r="E7">
        <v>38</v>
      </c>
      <c r="F7">
        <v>2.5999999999999998E-4</v>
      </c>
      <c r="G7">
        <v>483</v>
      </c>
      <c r="H7">
        <v>1.175</v>
      </c>
      <c r="K7" s="1">
        <f>C17*C23</f>
        <v>7.2063659438727168E-2</v>
      </c>
      <c r="L7" s="1">
        <f t="shared" ref="L7:P7" si="5">D17*D23</f>
        <v>4.9698729059137218E-3</v>
      </c>
      <c r="M7" s="1">
        <f t="shared" si="5"/>
        <v>0.10477630304645853</v>
      </c>
      <c r="N7" s="1">
        <f t="shared" si="5"/>
        <v>6.1801695827457481E-2</v>
      </c>
      <c r="O7" s="1">
        <f t="shared" si="5"/>
        <v>1.0486873593465408E-2</v>
      </c>
      <c r="P7" s="1">
        <f t="shared" si="5"/>
        <v>1.4990694430094024E-3</v>
      </c>
      <c r="Y7" s="1">
        <f>(K7-K14)^2+(L7-L14)^2+(M7-M14)^2+(N7-N14)^2+(O7-O14)^2+(P7-P14)^2</f>
        <v>3.0633313961689109E-2</v>
      </c>
      <c r="Z7" s="8">
        <f t="shared" si="2"/>
        <v>0.17502375256429942</v>
      </c>
    </row>
    <row r="8" spans="1:26" x14ac:dyDescent="0.25">
      <c r="A8">
        <v>5</v>
      </c>
      <c r="B8" t="s">
        <v>105</v>
      </c>
      <c r="C8">
        <v>206.5</v>
      </c>
      <c r="D8">
        <v>360</v>
      </c>
      <c r="E8">
        <v>111.5</v>
      </c>
      <c r="F8">
        <v>8.8999999999999995E-4</v>
      </c>
      <c r="G8">
        <v>190</v>
      </c>
      <c r="H8">
        <v>0.86650000000000005</v>
      </c>
      <c r="K8" s="1">
        <f>C17*C24</f>
        <v>6.5433104817246221E-2</v>
      </c>
      <c r="L8" s="1">
        <f t="shared" ref="L8:P8" si="6">D17*D24</f>
        <v>2.5194494592479286E-2</v>
      </c>
      <c r="M8" s="1">
        <f t="shared" si="6"/>
        <v>7.5175822813602522E-2</v>
      </c>
      <c r="N8" s="1">
        <f t="shared" si="6"/>
        <v>4.9302476446623389E-2</v>
      </c>
      <c r="O8" s="1">
        <f t="shared" si="6"/>
        <v>2.939084309747542E-2</v>
      </c>
      <c r="P8" s="1">
        <f t="shared" si="6"/>
        <v>1.2058296616013309E-2</v>
      </c>
      <c r="Y8" s="1">
        <f>(K8-K14)^2+(L8-L14)^2+(M8-M14)^2+(N8-N14)^2+(O8-O14)^2+(P8-P14)^2</f>
        <v>2.2792799703282525E-2</v>
      </c>
      <c r="Z8" s="8">
        <f t="shared" si="2"/>
        <v>0.15097284425777546</v>
      </c>
    </row>
    <row r="9" spans="1:26" x14ac:dyDescent="0.25">
      <c r="A9">
        <v>6</v>
      </c>
      <c r="B9" t="s">
        <v>106</v>
      </c>
      <c r="C9">
        <v>187.5</v>
      </c>
      <c r="D9">
        <v>1825</v>
      </c>
      <c r="E9">
        <v>80</v>
      </c>
      <c r="F9">
        <v>7.1000000000000002E-4</v>
      </c>
      <c r="G9">
        <v>532.5</v>
      </c>
      <c r="H9">
        <v>6.97</v>
      </c>
      <c r="K9" s="1">
        <f>C17*C25</f>
        <v>7.328507739531577E-2</v>
      </c>
      <c r="L9" s="1">
        <f t="shared" ref="L9:P9" si="7">D17*D25</f>
        <v>2.6644040856704118E-2</v>
      </c>
      <c r="M9" s="1">
        <f t="shared" si="7"/>
        <v>1.9733653488570663E-2</v>
      </c>
      <c r="N9" s="1">
        <f t="shared" si="7"/>
        <v>1.4269942126452261E-3</v>
      </c>
      <c r="O9" s="1">
        <f t="shared" si="7"/>
        <v>4.2554629160851731E-2</v>
      </c>
      <c r="P9" s="1">
        <f t="shared" si="7"/>
        <v>1.382292538908843E-2</v>
      </c>
      <c r="Y9" s="1">
        <f>(K9-K14)^2+(L9-L14)^2+(M9-M14)^2+(N9-N14)^2+(O9-O14)^2+(P9-P14)^2</f>
        <v>1.7115079411397935E-2</v>
      </c>
      <c r="Z9" s="8">
        <f t="shared" si="2"/>
        <v>0.1308246131712146</v>
      </c>
    </row>
    <row r="10" spans="1:26" x14ac:dyDescent="0.25">
      <c r="A10">
        <v>7</v>
      </c>
      <c r="B10" t="s">
        <v>107</v>
      </c>
      <c r="C10">
        <v>210</v>
      </c>
      <c r="D10">
        <v>1930</v>
      </c>
      <c r="E10">
        <v>21</v>
      </c>
      <c r="F10">
        <v>2.0550000000000001E-5</v>
      </c>
      <c r="G10">
        <v>771</v>
      </c>
      <c r="H10">
        <v>7.99</v>
      </c>
      <c r="K10" s="1">
        <f>C17*C26</f>
        <v>0.2069430995020107</v>
      </c>
      <c r="L10" s="1">
        <f t="shared" ref="L10:P10" si="8">D17*D26</f>
        <v>6.0811917084860959E-2</v>
      </c>
      <c r="M10" s="1">
        <f t="shared" si="8"/>
        <v>1.3202753881638945E-2</v>
      </c>
      <c r="N10" s="1">
        <f t="shared" si="8"/>
        <v>9.3744145356255748E-2</v>
      </c>
      <c r="O10" s="1">
        <f t="shared" si="8"/>
        <v>6.8992589430693474E-2</v>
      </c>
      <c r="P10" s="1">
        <f t="shared" si="8"/>
        <v>0.13771024542821514</v>
      </c>
      <c r="Y10" s="1">
        <f>(K10-K14)^2+(L10-L14)^2+(M10-M14)^2+(N10-N14)^2+(O10-O14)^2+(P10-P14)^2</f>
        <v>3.5398421553757137E-2</v>
      </c>
      <c r="Z10" s="8">
        <f t="shared" si="2"/>
        <v>0.18814468250194352</v>
      </c>
    </row>
    <row r="11" spans="1:26" x14ac:dyDescent="0.25">
      <c r="A11">
        <v>8</v>
      </c>
      <c r="B11" t="s">
        <v>108</v>
      </c>
      <c r="C11">
        <v>593</v>
      </c>
      <c r="D11">
        <v>4405</v>
      </c>
      <c r="E11">
        <v>14.05</v>
      </c>
      <c r="F11">
        <v>1.3500000000000001E-3</v>
      </c>
      <c r="G11">
        <v>1250</v>
      </c>
      <c r="H11">
        <v>79.599999999999994</v>
      </c>
      <c r="K11" s="1">
        <f>C17*C27</f>
        <v>7.4157518792879046E-2</v>
      </c>
      <c r="L11" s="1">
        <f t="shared" ref="L11:P11" si="9">D17*D27</f>
        <v>2.2847610164686692E-2</v>
      </c>
      <c r="M11" s="1">
        <f t="shared" si="9"/>
        <v>0.1127637342204038</v>
      </c>
      <c r="N11" s="1">
        <f t="shared" si="9"/>
        <v>7.8467321668569609E-2</v>
      </c>
      <c r="O11" s="1">
        <f t="shared" si="9"/>
        <v>2.4754541087732819E-2</v>
      </c>
      <c r="P11" s="1">
        <f t="shared" si="9"/>
        <v>2.9929488013921133E-3</v>
      </c>
      <c r="Y11" s="1">
        <f>(K11-K14)^2+(L11-L14)^2+(M11-M14)^2+(N11-N14)^2+(O11-O14)^2+(P11-P14)^2</f>
        <v>3.4678499437358817E-2</v>
      </c>
      <c r="Z11" s="8">
        <f t="shared" si="2"/>
        <v>0.18622164062578447</v>
      </c>
    </row>
    <row r="12" spans="1:26" x14ac:dyDescent="0.25">
      <c r="A12">
        <v>9</v>
      </c>
      <c r="B12" t="s">
        <v>109</v>
      </c>
      <c r="C12">
        <v>212.5</v>
      </c>
      <c r="D12">
        <v>1655</v>
      </c>
      <c r="E12">
        <v>120</v>
      </c>
      <c r="F12">
        <v>1.1299999999999999E-3</v>
      </c>
      <c r="G12">
        <v>448.5</v>
      </c>
      <c r="H12">
        <v>1.73</v>
      </c>
      <c r="R12" t="s">
        <v>128</v>
      </c>
      <c r="Y12" s="6" t="s">
        <v>128</v>
      </c>
      <c r="Z12" s="6" t="s">
        <v>129</v>
      </c>
    </row>
    <row r="13" spans="1:26" x14ac:dyDescent="0.25">
      <c r="B13" s="6" t="s">
        <v>124</v>
      </c>
      <c r="C13" s="7">
        <f>SUM(C4^2+C5^2+C6^2+C7^2+C8^2+C9^2+C10^2+C11^2+C12^2)</f>
        <v>695334</v>
      </c>
      <c r="D13" s="7">
        <f>SUMSQ(D4:D12)</f>
        <v>32746781.25</v>
      </c>
      <c r="E13" s="7">
        <f>SUMSQ(E4:E12)</f>
        <v>48057.152499999997</v>
      </c>
      <c r="F13" s="7">
        <f>SUMSQ(F4:F12)</f>
        <v>7.3298473024999997E-6</v>
      </c>
      <c r="G13" s="7">
        <f>SUMSQ(G4:G12)</f>
        <v>3152588.5</v>
      </c>
      <c r="H13" s="7">
        <f>SUMSQ(H4:H12)</f>
        <v>6455.4010924999993</v>
      </c>
      <c r="J13" s="6" t="s">
        <v>132</v>
      </c>
      <c r="K13" s="1">
        <f>MAX(K3:K11)</f>
        <v>0.2069430995020107</v>
      </c>
      <c r="L13">
        <f t="shared" ref="L13:O13" si="10">MAX(L3:L11)</f>
        <v>6.0811917084860959E-2</v>
      </c>
      <c r="M13">
        <f t="shared" si="10"/>
        <v>0.1127637342204038</v>
      </c>
      <c r="N13">
        <f t="shared" si="10"/>
        <v>9.3744145356255748E-2</v>
      </c>
      <c r="O13">
        <f t="shared" si="10"/>
        <v>6.8992589430693474E-2</v>
      </c>
      <c r="P13" s="1">
        <f>MIN(P3:P11)</f>
        <v>1.1643089845877988E-3</v>
      </c>
      <c r="R13" t="s">
        <v>129</v>
      </c>
    </row>
    <row r="14" spans="1:26" x14ac:dyDescent="0.25">
      <c r="B14" s="6" t="s">
        <v>125</v>
      </c>
      <c r="C14" s="7">
        <f>SQRT(C13)</f>
        <v>833.86689585328907</v>
      </c>
      <c r="D14" s="7">
        <f t="shared" ref="D14:H14" si="11">SQRT(D13)</f>
        <v>5722.480340726388</v>
      </c>
      <c r="E14" s="7">
        <f t="shared" si="11"/>
        <v>219.21941633897302</v>
      </c>
      <c r="F14" s="7">
        <f t="shared" si="11"/>
        <v>2.7073690739350628E-3</v>
      </c>
      <c r="G14" s="7">
        <f t="shared" si="11"/>
        <v>1775.5530124442919</v>
      </c>
      <c r="H14" s="7">
        <f t="shared" si="11"/>
        <v>80.345510717774388</v>
      </c>
      <c r="J14" s="6" t="s">
        <v>133</v>
      </c>
      <c r="K14" s="1">
        <f>MIN(K3:K11)</f>
        <v>6.5433104817246221E-2</v>
      </c>
      <c r="L14">
        <f t="shared" ref="L14:O14" si="12">MIN(L3:L11)</f>
        <v>4.5557168304209122E-3</v>
      </c>
      <c r="M14">
        <f t="shared" si="12"/>
        <v>1.3202753881638945E-2</v>
      </c>
      <c r="N14">
        <f t="shared" si="12"/>
        <v>1.4269942126452261E-3</v>
      </c>
      <c r="O14">
        <f t="shared" si="12"/>
        <v>8.2791107316832167E-3</v>
      </c>
      <c r="P14" s="1">
        <f>MAX(P3:P11)</f>
        <v>0.13771024542821514</v>
      </c>
    </row>
    <row r="15" spans="1:26" x14ac:dyDescent="0.25">
      <c r="I15" t="s">
        <v>110</v>
      </c>
      <c r="R15" s="6" t="s">
        <v>136</v>
      </c>
      <c r="U15" t="s">
        <v>110</v>
      </c>
      <c r="X15" t="s">
        <v>21</v>
      </c>
    </row>
    <row r="16" spans="1:26" x14ac:dyDescent="0.25">
      <c r="C16" t="str">
        <f t="shared" ref="C16:H16" si="13">C3</f>
        <v>YM (Gpa)</v>
      </c>
      <c r="D16" t="str">
        <f t="shared" si="13"/>
        <v>CS (Mpa)</v>
      </c>
      <c r="E16" t="str">
        <f t="shared" si="13"/>
        <v>FT (Mpam)1/2</v>
      </c>
      <c r="F16" t="str">
        <f t="shared" si="13"/>
        <v>MLC</v>
      </c>
      <c r="G16" t="str">
        <f t="shared" si="13"/>
        <v>H(HV)</v>
      </c>
      <c r="H16" t="str">
        <f t="shared" si="13"/>
        <v>C($/kg)</v>
      </c>
      <c r="I16">
        <v>1</v>
      </c>
      <c r="J16" s="6" t="s">
        <v>127</v>
      </c>
      <c r="K16" s="15" t="s">
        <v>140</v>
      </c>
      <c r="L16" s="15"/>
      <c r="M16" s="15"/>
      <c r="N16" s="15"/>
      <c r="O16" s="15"/>
      <c r="P16" s="15"/>
      <c r="Q16" s="1">
        <f>(K3-K13)^2+(L3-L13)^2+(M3-M13)^2+(N3-N13)^2+(O3-O13)^2+(P3-P13)^2</f>
        <v>2.8781524247709744E-2</v>
      </c>
      <c r="R16" s="1">
        <f>SQRT(Q16)</f>
        <v>0.16965118404452634</v>
      </c>
      <c r="U16">
        <v>1</v>
      </c>
      <c r="V16" t="s">
        <v>131</v>
      </c>
      <c r="W16">
        <f>Z3/(Z3+R16)</f>
        <v>0.4866932827076042</v>
      </c>
      <c r="X16">
        <v>6</v>
      </c>
    </row>
    <row r="17" spans="2:24" x14ac:dyDescent="0.25">
      <c r="B17" s="6" t="s">
        <v>123</v>
      </c>
      <c r="C17">
        <v>0.29099999999999998</v>
      </c>
      <c r="D17">
        <v>7.9000000000000001E-2</v>
      </c>
      <c r="E17">
        <v>0.20599999999999999</v>
      </c>
      <c r="F17">
        <v>0.188</v>
      </c>
      <c r="G17">
        <v>9.8000000000000004E-2</v>
      </c>
      <c r="H17">
        <v>0.13900000000000001</v>
      </c>
      <c r="I17">
        <v>2</v>
      </c>
      <c r="K17" s="15"/>
      <c r="L17" s="15"/>
      <c r="M17" s="15"/>
      <c r="N17" s="15"/>
      <c r="O17" s="15"/>
      <c r="P17" s="15"/>
      <c r="Q17" s="1">
        <f>(K4-K13)^2+(L4-L13)^2+(M4-M13)^2+(N4-N13)^2+(O4-O13)^2+(P4-P13)^2</f>
        <v>2.782266678278655E-2</v>
      </c>
      <c r="R17" s="1">
        <f t="shared" ref="R17:R24" si="14">SQRT(Q17)</f>
        <v>0.16680127931999367</v>
      </c>
      <c r="U17">
        <v>2</v>
      </c>
      <c r="W17">
        <f t="shared" ref="W17:W24" si="15">Z4/(Z4+R17)</f>
        <v>0.49211067986430768</v>
      </c>
      <c r="X17">
        <v>6</v>
      </c>
    </row>
    <row r="18" spans="2:24" x14ac:dyDescent="0.25">
      <c r="I18">
        <v>3</v>
      </c>
      <c r="K18" s="15"/>
      <c r="L18" s="15"/>
      <c r="M18" s="15"/>
      <c r="N18" s="15"/>
      <c r="O18" s="15"/>
      <c r="P18" s="15"/>
      <c r="Q18" s="1">
        <f>(K5-K13)^2+(L5-L13)^2+(M5-M13)^2+(N5-N13)^2+(O5-O13)^2+(P5-P13)^2</f>
        <v>2.7373741290536855E-2</v>
      </c>
      <c r="R18" s="1">
        <f t="shared" si="14"/>
        <v>0.16545011722732883</v>
      </c>
      <c r="U18">
        <v>3</v>
      </c>
      <c r="W18">
        <f>Z5/(Z5+R18)</f>
        <v>0.48697211729186196</v>
      </c>
      <c r="X18">
        <v>5</v>
      </c>
    </row>
    <row r="19" spans="2:24" x14ac:dyDescent="0.25">
      <c r="B19" t="s">
        <v>130</v>
      </c>
      <c r="C19">
        <f>C4/C14</f>
        <v>0.25183875393579302</v>
      </c>
      <c r="D19">
        <f t="shared" ref="D19:H19" si="16">D4/D14</f>
        <v>5.7667301650897618E-2</v>
      </c>
      <c r="E19">
        <f t="shared" si="16"/>
        <v>0.24860936549401325</v>
      </c>
      <c r="F19">
        <f t="shared" si="16"/>
        <v>0.40999212508055111</v>
      </c>
      <c r="G19">
        <f t="shared" si="16"/>
        <v>8.4480721751869547E-2</v>
      </c>
      <c r="H19">
        <f t="shared" si="16"/>
        <v>8.3763236301280485E-3</v>
      </c>
      <c r="I19">
        <v>4</v>
      </c>
      <c r="K19" s="15"/>
      <c r="L19" s="15"/>
      <c r="M19" s="15"/>
      <c r="N19" s="15"/>
      <c r="O19" s="15"/>
      <c r="P19" s="15"/>
      <c r="Q19" s="1">
        <f>(K6-K13)^2+(L6-L13)^2+(M6-M13)^2+(N6-N13)^2+(O6-O13)^2+(P6-P13)^2</f>
        <v>3.317817781920479E-2</v>
      </c>
      <c r="R19" s="1">
        <f t="shared" si="14"/>
        <v>0.18214877935139942</v>
      </c>
      <c r="U19">
        <v>4</v>
      </c>
      <c r="W19">
        <f t="shared" si="15"/>
        <v>0.43625442576335421</v>
      </c>
      <c r="X19">
        <v>8</v>
      </c>
    </row>
    <row r="20" spans="2:24" x14ac:dyDescent="0.25">
      <c r="C20">
        <f>C5/C14</f>
        <v>0.25423721825899104</v>
      </c>
      <c r="D20">
        <f t="shared" ref="D20:H20" si="17">D5/D14</f>
        <v>0.1105289948308871</v>
      </c>
      <c r="E20">
        <f t="shared" si="17"/>
        <v>0.20983542775641484</v>
      </c>
      <c r="F20">
        <f t="shared" si="17"/>
        <v>0.43215386157139168</v>
      </c>
      <c r="G20">
        <f t="shared" si="17"/>
        <v>0.19993770814609127</v>
      </c>
      <c r="H20">
        <f t="shared" si="17"/>
        <v>8.7683803825040277E-3</v>
      </c>
      <c r="I20">
        <v>5</v>
      </c>
      <c r="Q20" s="1">
        <f>(K7-K13)^2+(L7-L13)^2+(M7-M13)^2+(N7-N13)^2+(O7-O13)^2+(P7-P13)^2</f>
        <v>2.5817947238717727E-2</v>
      </c>
      <c r="R20" s="1">
        <f t="shared" si="14"/>
        <v>0.16067964164360626</v>
      </c>
      <c r="U20">
        <v>5</v>
      </c>
      <c r="W20">
        <f t="shared" si="15"/>
        <v>0.52136426257252799</v>
      </c>
      <c r="X20">
        <v>3</v>
      </c>
    </row>
    <row r="21" spans="2:24" x14ac:dyDescent="0.25">
      <c r="C21">
        <f>C6/C14</f>
        <v>0.25423721825899104</v>
      </c>
      <c r="D21">
        <f t="shared" ref="D21:H21" si="18">D6/D14</f>
        <v>0.11446085630708466</v>
      </c>
      <c r="E21">
        <f t="shared" si="18"/>
        <v>0.39914347671057171</v>
      </c>
      <c r="F21">
        <f t="shared" si="18"/>
        <v>0.19022157154638183</v>
      </c>
      <c r="G21">
        <f t="shared" si="18"/>
        <v>0.17177746756213474</v>
      </c>
      <c r="H21">
        <f t="shared" si="18"/>
        <v>1.0753556636598268E-2</v>
      </c>
      <c r="I21">
        <v>6</v>
      </c>
      <c r="Q21" s="1">
        <f>(K8-K13)^2+(L8-L13)^2+(M8-M13)^2+(N8-N13)^2+(O8-O13)^2+(P8-P13)^2</f>
        <v>2.6368569679236016E-2</v>
      </c>
      <c r="R21" s="1">
        <f t="shared" si="14"/>
        <v>0.16238401916209616</v>
      </c>
      <c r="U21">
        <v>6</v>
      </c>
      <c r="W21">
        <f t="shared" si="15"/>
        <v>0.48179204568908596</v>
      </c>
      <c r="X21">
        <v>7</v>
      </c>
    </row>
    <row r="22" spans="2:24" x14ac:dyDescent="0.25">
      <c r="C22">
        <f>C7/C14</f>
        <v>0.24764144137019645</v>
      </c>
      <c r="D22">
        <f t="shared" ref="D22:H22" si="19">D7/D14</f>
        <v>0.27523030333382953</v>
      </c>
      <c r="E22">
        <f t="shared" si="19"/>
        <v>0.17334230988573399</v>
      </c>
      <c r="F22">
        <f t="shared" si="19"/>
        <v>9.6034191460309254E-2</v>
      </c>
      <c r="G22">
        <f t="shared" si="19"/>
        <v>0.27202792404101994</v>
      </c>
      <c r="H22">
        <f t="shared" si="19"/>
        <v>1.4624339175929358E-2</v>
      </c>
      <c r="I22">
        <v>7</v>
      </c>
      <c r="Q22" s="1">
        <f>(K9-K13)^2+(L9-L13)^2+(M9-M13)^2+(N9-N13)^2+(O9-O13)^2+(P9-P13)^2</f>
        <v>3.7068169268166036E-2</v>
      </c>
      <c r="R22" s="1">
        <f t="shared" si="14"/>
        <v>0.19253095664896602</v>
      </c>
      <c r="U22">
        <v>7</v>
      </c>
      <c r="W22">
        <f t="shared" si="15"/>
        <v>0.40458438134826841</v>
      </c>
      <c r="X22">
        <v>9</v>
      </c>
    </row>
    <row r="23" spans="2:24" x14ac:dyDescent="0.25">
      <c r="C23">
        <f>C8/C14</f>
        <v>0.24764144137019645</v>
      </c>
      <c r="D23">
        <f t="shared" ref="D23:H23" si="20">D8/D14</f>
        <v>6.2909783619161039E-2</v>
      </c>
      <c r="E23">
        <f t="shared" si="20"/>
        <v>0.50862283032261424</v>
      </c>
      <c r="F23">
        <f t="shared" si="20"/>
        <v>0.32873242461413554</v>
      </c>
      <c r="G23">
        <f t="shared" si="20"/>
        <v>0.10700891421903477</v>
      </c>
      <c r="H23">
        <f t="shared" si="20"/>
        <v>1.0784672251866204E-2</v>
      </c>
      <c r="I23">
        <v>8</v>
      </c>
      <c r="Q23" s="1">
        <f>(K10-K13)^2+(L10-L13)^2+(M10-M13)^2+(N10-N13)^2+(O10-O13)^2+(P10-P13)^2</f>
        <v>2.8557181565283037E-2</v>
      </c>
      <c r="R23" s="1">
        <f t="shared" si="14"/>
        <v>0.1689887024782516</v>
      </c>
      <c r="U23">
        <v>8</v>
      </c>
      <c r="W23">
        <f t="shared" si="15"/>
        <v>0.52681908333038407</v>
      </c>
      <c r="X23">
        <v>2</v>
      </c>
    </row>
    <row r="24" spans="2:24" x14ac:dyDescent="0.25">
      <c r="C24">
        <f>C9/C14</f>
        <v>0.22485603029981518</v>
      </c>
      <c r="D24">
        <f t="shared" ref="D24:H24" si="21">D9/D14</f>
        <v>0.31891765306935804</v>
      </c>
      <c r="E24">
        <f t="shared" si="21"/>
        <v>0.36493117870680841</v>
      </c>
      <c r="F24">
        <f t="shared" si="21"/>
        <v>0.26224721514161375</v>
      </c>
      <c r="G24">
        <f t="shared" si="21"/>
        <v>0.29990656221913692</v>
      </c>
      <c r="H24">
        <f t="shared" si="21"/>
        <v>8.6750335367002218E-2</v>
      </c>
      <c r="I24">
        <v>9</v>
      </c>
      <c r="Q24" s="1">
        <f>(K11-K13)^2+(L11-L13)^2+(M11-M13)^2+(N11-N13)^2+(O11-O13)^2+(P11-P13)^2</f>
        <v>2.1267029230948881E-2</v>
      </c>
      <c r="R24" s="1">
        <f t="shared" si="14"/>
        <v>0.14583219545405218</v>
      </c>
      <c r="U24">
        <v>9</v>
      </c>
      <c r="W24">
        <f t="shared" si="15"/>
        <v>0.56081761567425681</v>
      </c>
      <c r="X24">
        <v>1</v>
      </c>
    </row>
    <row r="25" spans="2:24" x14ac:dyDescent="0.25">
      <c r="C25">
        <f>C10/C14</f>
        <v>0.25183875393579302</v>
      </c>
      <c r="D25">
        <f t="shared" ref="D25:H25" si="22">D10/D14</f>
        <v>0.33726633995827998</v>
      </c>
      <c r="E25">
        <f t="shared" si="22"/>
        <v>9.5794434410537213E-2</v>
      </c>
      <c r="F25">
        <f t="shared" si="22"/>
        <v>7.5903947481129053E-3</v>
      </c>
      <c r="G25">
        <f t="shared" si="22"/>
        <v>0.43423090980460949</v>
      </c>
      <c r="H25">
        <f t="shared" si="22"/>
        <v>9.9445506396319633E-2</v>
      </c>
      <c r="J25" t="s">
        <v>128</v>
      </c>
      <c r="Q25" s="6" t="s">
        <v>128</v>
      </c>
      <c r="R25" s="6" t="s">
        <v>129</v>
      </c>
    </row>
    <row r="26" spans="2:24" x14ac:dyDescent="0.25">
      <c r="C26">
        <f>C11/C14</f>
        <v>0.7111446718282155</v>
      </c>
      <c r="D26">
        <f t="shared" ref="D26:H26" si="23">D11/D14</f>
        <v>0.76977110234001211</v>
      </c>
      <c r="E26">
        <f t="shared" si="23"/>
        <v>6.4091038260383232E-2</v>
      </c>
      <c r="F26">
        <f t="shared" si="23"/>
        <v>0.49863907104391353</v>
      </c>
      <c r="G26">
        <f t="shared" si="23"/>
        <v>0.70400601459891299</v>
      </c>
      <c r="H26">
        <f t="shared" si="23"/>
        <v>0.99072119013104398</v>
      </c>
      <c r="J26" t="s">
        <v>129</v>
      </c>
    </row>
    <row r="27" spans="2:24" x14ac:dyDescent="0.25">
      <c r="C27">
        <f>C12/C14</f>
        <v>0.25483683433979054</v>
      </c>
      <c r="D27">
        <f t="shared" ref="D27:H27" si="24">D12/D14</f>
        <v>0.28921025524919863</v>
      </c>
      <c r="E27">
        <f t="shared" si="24"/>
        <v>0.54739676806021265</v>
      </c>
      <c r="F27">
        <f t="shared" si="24"/>
        <v>0.41737937057749791</v>
      </c>
      <c r="G27">
        <f t="shared" si="24"/>
        <v>0.25259735803808997</v>
      </c>
      <c r="H27">
        <f t="shared" si="24"/>
        <v>2.1532005765410884E-2</v>
      </c>
    </row>
    <row r="28" spans="2:24" x14ac:dyDescent="0.25">
      <c r="K28" t="s">
        <v>135</v>
      </c>
    </row>
    <row r="29" spans="2:24" x14ac:dyDescent="0.25">
      <c r="K29" t="s">
        <v>134</v>
      </c>
      <c r="T29">
        <v>1</v>
      </c>
      <c r="V29">
        <f>+_xlfn.PERCENTRANK.INC(T$29:T$32,T29,T$29:T$32)</f>
        <v>0</v>
      </c>
    </row>
    <row r="30" spans="2:24" x14ac:dyDescent="0.25">
      <c r="T30">
        <v>3</v>
      </c>
      <c r="V30">
        <f t="shared" ref="V30:V32" si="25">+_xlfn.PERCENTRANK.INC(T$29:T$32,T30,T$29:T$32)</f>
        <v>0.66600000000000004</v>
      </c>
    </row>
    <row r="31" spans="2:24" x14ac:dyDescent="0.25">
      <c r="T31">
        <v>4</v>
      </c>
      <c r="V31">
        <f t="shared" si="25"/>
        <v>1</v>
      </c>
    </row>
    <row r="32" spans="2:24" x14ac:dyDescent="0.25">
      <c r="T32">
        <v>2</v>
      </c>
      <c r="V32">
        <f t="shared" si="25"/>
        <v>0.33</v>
      </c>
    </row>
  </sheetData>
  <mergeCells count="1">
    <mergeCell ref="K16:P1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="60" zoomScaleNormal="60" workbookViewId="0">
      <selection activeCell="B4" sqref="B4:B5"/>
    </sheetView>
  </sheetViews>
  <sheetFormatPr baseColWidth="10" defaultRowHeight="15" x14ac:dyDescent="0.25"/>
  <cols>
    <col min="2" max="2" width="16.42578125" customWidth="1"/>
    <col min="4" max="4" width="19.5703125" customWidth="1"/>
    <col min="7" max="7" width="18.28515625" customWidth="1"/>
  </cols>
  <sheetData>
    <row r="1" spans="1:9" x14ac:dyDescent="0.25">
      <c r="C1" t="str">
        <f>C3</f>
        <v>MODULO DE YOUNG(Gpas)</v>
      </c>
      <c r="D1" t="str">
        <f t="shared" ref="D1:G1" si="0">D3</f>
        <v>ESFUERZO DE VON MISSES (Mpa)</v>
      </c>
      <c r="E1" t="str">
        <f t="shared" si="0"/>
        <v>TENSILE STRENGH ULTIMATE (Mpa)</v>
      </c>
      <c r="F1" t="str">
        <f t="shared" si="0"/>
        <v>DEFORMACIÓN PLÁSTICA %</v>
      </c>
      <c r="G1" t="str">
        <f t="shared" si="0"/>
        <v>RADIO DE POISON</v>
      </c>
      <c r="H1" t="str">
        <f>H3</f>
        <v>Density  g/cc</v>
      </c>
    </row>
    <row r="2" spans="1:9" x14ac:dyDescent="0.25">
      <c r="B2" s="6" t="s">
        <v>123</v>
      </c>
      <c r="C2">
        <v>0.29099999999999998</v>
      </c>
      <c r="D2">
        <v>7.9000000000000001E-2</v>
      </c>
      <c r="E2">
        <v>0.20599999999999999</v>
      </c>
      <c r="F2">
        <v>0.188</v>
      </c>
      <c r="G2">
        <v>9.8000000000000004E-2</v>
      </c>
      <c r="H2">
        <v>0.13900000000000001</v>
      </c>
    </row>
    <row r="3" spans="1:9" ht="81" x14ac:dyDescent="0.25">
      <c r="A3" s="6" t="s">
        <v>110</v>
      </c>
      <c r="B3" s="6" t="s">
        <v>0</v>
      </c>
      <c r="C3" s="12" t="s">
        <v>207</v>
      </c>
      <c r="D3" s="12" t="s">
        <v>202</v>
      </c>
      <c r="E3" s="12" t="s">
        <v>208</v>
      </c>
      <c r="F3" s="12" t="s">
        <v>203</v>
      </c>
      <c r="G3" s="12" t="s">
        <v>206</v>
      </c>
      <c r="H3" s="13" t="s">
        <v>205</v>
      </c>
    </row>
    <row r="4" spans="1:9" ht="45" x14ac:dyDescent="0.25">
      <c r="A4">
        <v>1</v>
      </c>
      <c r="B4" s="11" t="s">
        <v>227</v>
      </c>
      <c r="C4">
        <v>210</v>
      </c>
      <c r="D4">
        <v>435.86599999999999</v>
      </c>
      <c r="E4">
        <v>322</v>
      </c>
      <c r="F4">
        <v>0.35701899999999998</v>
      </c>
      <c r="G4">
        <v>0.28999999999999998</v>
      </c>
      <c r="H4">
        <v>7.8</v>
      </c>
    </row>
    <row r="5" spans="1:9" x14ac:dyDescent="0.25">
      <c r="A5">
        <v>2</v>
      </c>
      <c r="B5" s="11" t="s">
        <v>226</v>
      </c>
      <c r="C5">
        <v>200</v>
      </c>
      <c r="D5">
        <v>275</v>
      </c>
      <c r="E5">
        <v>270</v>
      </c>
      <c r="F5">
        <v>0.348001</v>
      </c>
      <c r="G5">
        <v>0.28999999999999998</v>
      </c>
      <c r="H5">
        <v>7.8</v>
      </c>
    </row>
    <row r="6" spans="1:9" ht="45" x14ac:dyDescent="0.25">
      <c r="A6">
        <v>3</v>
      </c>
      <c r="B6" s="11" t="s">
        <v>198</v>
      </c>
      <c r="C6">
        <v>90</v>
      </c>
      <c r="D6">
        <v>50</v>
      </c>
      <c r="E6">
        <v>60</v>
      </c>
      <c r="F6">
        <v>2.3001000000000001E-2</v>
      </c>
      <c r="G6">
        <v>0.1</v>
      </c>
      <c r="H6">
        <v>4.4400000000000004</v>
      </c>
    </row>
    <row r="7" spans="1:9" x14ac:dyDescent="0.25">
      <c r="A7">
        <v>4</v>
      </c>
      <c r="B7" s="11" t="s">
        <v>199</v>
      </c>
      <c r="C7">
        <v>200</v>
      </c>
      <c r="D7">
        <v>601</v>
      </c>
      <c r="E7">
        <v>675</v>
      </c>
      <c r="F7">
        <v>0.85001000000000004</v>
      </c>
      <c r="G7">
        <v>0.28999999999999998</v>
      </c>
      <c r="H7">
        <v>7.85</v>
      </c>
    </row>
    <row r="8" spans="1:9" x14ac:dyDescent="0.25">
      <c r="A8">
        <v>5</v>
      </c>
      <c r="B8" s="11" t="s">
        <v>200</v>
      </c>
      <c r="C8">
        <v>200</v>
      </c>
      <c r="D8">
        <v>550</v>
      </c>
      <c r="E8">
        <v>420</v>
      </c>
      <c r="F8">
        <v>0.35650700000000002</v>
      </c>
      <c r="G8">
        <v>0.28999999999999998</v>
      </c>
      <c r="H8">
        <v>7.87</v>
      </c>
    </row>
    <row r="9" spans="1:9" ht="30" x14ac:dyDescent="0.25">
      <c r="A9">
        <v>6</v>
      </c>
      <c r="B9" s="11" t="s">
        <v>201</v>
      </c>
      <c r="C9">
        <v>200</v>
      </c>
      <c r="D9">
        <v>410.98599999999999</v>
      </c>
      <c r="E9">
        <v>330</v>
      </c>
      <c r="F9">
        <v>0.48099999999999998</v>
      </c>
      <c r="G9">
        <v>0.28999999999999998</v>
      </c>
      <c r="H9">
        <v>7.8719999999999999</v>
      </c>
    </row>
    <row r="10" spans="1:9" x14ac:dyDescent="0.25">
      <c r="B10" s="6" t="s">
        <v>124</v>
      </c>
      <c r="C10" s="7">
        <f>SUM(C4^2+C5^2+C6^2+C7^2+C8^2+C9^2)</f>
        <v>212200</v>
      </c>
      <c r="D10" s="7">
        <f>SUMSQ(D4:D9)</f>
        <v>1100714.662152</v>
      </c>
      <c r="E10" s="7">
        <f>SUMSQ(E4:E9)</f>
        <v>921109</v>
      </c>
      <c r="F10" s="7">
        <f>SUMSQ(F4:F9)</f>
        <v>1.3300715495120001</v>
      </c>
      <c r="G10" s="7">
        <f>SUMSQ(G4:G9)</f>
        <v>0.43049999999999999</v>
      </c>
      <c r="H10" s="7">
        <f>SUMSQ(H4:H9)</f>
        <v>326.92138399999999</v>
      </c>
    </row>
    <row r="11" spans="1:9" x14ac:dyDescent="0.25">
      <c r="B11" s="6" t="s">
        <v>125</v>
      </c>
      <c r="C11" s="7">
        <f>SQRT(C10)</f>
        <v>460.65171225124084</v>
      </c>
      <c r="D11" s="7">
        <f t="shared" ref="D11:H11" si="1">SQRT(D10)</f>
        <v>1049.1494946631772</v>
      </c>
      <c r="E11" s="7">
        <f t="shared" si="1"/>
        <v>959.74423676310766</v>
      </c>
      <c r="F11" s="7">
        <f t="shared" si="1"/>
        <v>1.1532872796974742</v>
      </c>
      <c r="G11" s="7">
        <f t="shared" si="1"/>
        <v>0.65612498809296993</v>
      </c>
      <c r="H11" s="7">
        <f t="shared" si="1"/>
        <v>18.080967451992162</v>
      </c>
    </row>
    <row r="12" spans="1:9" x14ac:dyDescent="0.25">
      <c r="B12" s="6" t="s">
        <v>138</v>
      </c>
      <c r="C12">
        <f>MAX(C4:C9)</f>
        <v>210</v>
      </c>
      <c r="D12">
        <f>MAX(D4:D9)</f>
        <v>601</v>
      </c>
      <c r="E12">
        <f>MAX(E4:E9)</f>
        <v>675</v>
      </c>
      <c r="F12">
        <f>MAX(F4:F9)</f>
        <v>0.85001000000000004</v>
      </c>
      <c r="G12">
        <f>MAX(G4:G9)</f>
        <v>0.28999999999999998</v>
      </c>
      <c r="H12">
        <f>MIN(H4:H9)</f>
        <v>4.4400000000000004</v>
      </c>
      <c r="I12" t="s">
        <v>185</v>
      </c>
    </row>
    <row r="13" spans="1:9" x14ac:dyDescent="0.25">
      <c r="B13" s="6" t="s">
        <v>139</v>
      </c>
      <c r="C13">
        <f>MIN(C4:C9)</f>
        <v>90</v>
      </c>
      <c r="D13">
        <f>MIN(D4:D9)</f>
        <v>50</v>
      </c>
      <c r="E13">
        <f>MIN(E4:E9)</f>
        <v>60</v>
      </c>
      <c r="F13">
        <f>MIN(F4:F9)</f>
        <v>2.3001000000000001E-2</v>
      </c>
      <c r="G13">
        <f>MIN(G4:G9)</f>
        <v>0.1</v>
      </c>
      <c r="H13">
        <f>MAX(H4:H9)</f>
        <v>7.8719999999999999</v>
      </c>
      <c r="I13" t="s">
        <v>186</v>
      </c>
    </row>
    <row r="19" spans="2:16" ht="81" x14ac:dyDescent="0.25">
      <c r="G19" s="12" t="s">
        <v>207</v>
      </c>
      <c r="H19" s="12" t="s">
        <v>202</v>
      </c>
      <c r="I19" s="12" t="s">
        <v>208</v>
      </c>
      <c r="J19" s="12" t="s">
        <v>203</v>
      </c>
      <c r="K19" s="12" t="s">
        <v>206</v>
      </c>
      <c r="L19" s="13" t="s">
        <v>205</v>
      </c>
    </row>
    <row r="20" spans="2:16" x14ac:dyDescent="0.25">
      <c r="B20" t="s">
        <v>141</v>
      </c>
      <c r="C20" t="s">
        <v>142</v>
      </c>
      <c r="D20">
        <f>C2*(C12-C4)/(C12-C13)+D2*(D12-D4)/(D12-D13)+E2*(E12-E4)/(E12-E13)+F2*(F12-F4)/(F12-F13)+G2*(G12-G4)/(G12-G13)+H2*(H12-H4)/(H12-H13)</f>
        <v>0.39007005195141908</v>
      </c>
      <c r="E20" t="s">
        <v>153</v>
      </c>
      <c r="F20" t="s">
        <v>154</v>
      </c>
      <c r="G20" s="7">
        <f t="shared" ref="G20:L20" si="2">C2*(C12-C4)/(C12-C13)</f>
        <v>0</v>
      </c>
      <c r="H20">
        <f t="shared" si="2"/>
        <v>2.3676199637023596E-2</v>
      </c>
      <c r="I20">
        <f t="shared" si="2"/>
        <v>0.11824065040650404</v>
      </c>
      <c r="J20">
        <f t="shared" si="2"/>
        <v>0.11206928582397534</v>
      </c>
      <c r="K20">
        <f t="shared" si="2"/>
        <v>0</v>
      </c>
      <c r="L20">
        <f t="shared" si="2"/>
        <v>0.1360839160839161</v>
      </c>
      <c r="M20" t="s">
        <v>167</v>
      </c>
      <c r="N20">
        <f>MAX(G20:L20)</f>
        <v>0.1360839160839161</v>
      </c>
      <c r="O20" t="s">
        <v>176</v>
      </c>
      <c r="P20">
        <f>MIN(G20:L20)</f>
        <v>0</v>
      </c>
    </row>
    <row r="21" spans="2:16" x14ac:dyDescent="0.25">
      <c r="B21" t="s">
        <v>151</v>
      </c>
      <c r="C21" t="s">
        <v>143</v>
      </c>
      <c r="D21">
        <f>C2*(C12-C5)/(C12-C13)+D2*(D12-D5)/(D12-D13)+E2*(E12-E5)/(E12-E13)+F2*(F12-F5)/(F12-F13)+G2*(G12-G5)/(G12-G13)+H2*(H12-H5)/(H12-H13)</f>
        <v>0.45685222916528323</v>
      </c>
      <c r="F21" t="s">
        <v>155</v>
      </c>
      <c r="G21">
        <f t="shared" ref="G21:L21" si="3">C2*(C12-C5)/(C12-C13)</f>
        <v>2.4249999999999997E-2</v>
      </c>
      <c r="H21">
        <f t="shared" si="3"/>
        <v>4.6740471869328497E-2</v>
      </c>
      <c r="I21">
        <f t="shared" si="3"/>
        <v>0.13565853658536584</v>
      </c>
      <c r="J21">
        <f t="shared" si="3"/>
        <v>0.11411930462667276</v>
      </c>
      <c r="K21">
        <f t="shared" si="3"/>
        <v>0</v>
      </c>
      <c r="L21">
        <f t="shared" si="3"/>
        <v>0.1360839160839161</v>
      </c>
      <c r="M21" t="s">
        <v>168</v>
      </c>
      <c r="N21">
        <f t="shared" ref="N21:N25" si="4">MAX(G21:L21)</f>
        <v>0.1360839160839161</v>
      </c>
      <c r="O21" t="s">
        <v>177</v>
      </c>
      <c r="P21">
        <f t="shared" ref="P21:P25" si="5">MIN(G21:L21)</f>
        <v>0</v>
      </c>
    </row>
    <row r="22" spans="2:16" x14ac:dyDescent="0.25">
      <c r="B22" t="s">
        <v>152</v>
      </c>
      <c r="C22" t="s">
        <v>144</v>
      </c>
      <c r="D22">
        <f>C2*(C12-C6)/(C12-C13)+D2*(D12-D6)/(D12-D13)+E2*(E12-E6)/(E12-E13)+F2*(F12-F6)/(F12-F13)+G2*(G12-G6)/(G12-G13)+H2*(H12-H6)/(H12-H13)</f>
        <v>0.86199999999999999</v>
      </c>
      <c r="F22" t="s">
        <v>156</v>
      </c>
      <c r="G22">
        <f t="shared" ref="G22:L22" si="6">C2*(C12-C6)/(C12-C13)</f>
        <v>0.29099999999999998</v>
      </c>
      <c r="H22">
        <f t="shared" si="6"/>
        <v>7.9000000000000001E-2</v>
      </c>
      <c r="I22">
        <f t="shared" si="6"/>
        <v>0.20599999999999999</v>
      </c>
      <c r="J22">
        <f t="shared" si="6"/>
        <v>0.188</v>
      </c>
      <c r="K22">
        <f t="shared" si="6"/>
        <v>9.8000000000000004E-2</v>
      </c>
      <c r="L22">
        <f t="shared" si="6"/>
        <v>0</v>
      </c>
      <c r="M22" t="s">
        <v>169</v>
      </c>
      <c r="N22">
        <f t="shared" si="4"/>
        <v>0.29099999999999998</v>
      </c>
      <c r="O22" t="s">
        <v>178</v>
      </c>
      <c r="P22">
        <f t="shared" si="5"/>
        <v>0</v>
      </c>
    </row>
    <row r="23" spans="2:16" x14ac:dyDescent="0.25">
      <c r="C23" t="s">
        <v>145</v>
      </c>
      <c r="D23">
        <f>C2*(C12-C7)/(C12-C13)+D2*(D12-D7)/(D12-D13)+E2*(E12-E7)/(E12-E13)+F2*(F12-F7)/(F12-F13)+G2*(G12-G7)/(G12-G13)+H2*(H12-H7)/(H12-H13)</f>
        <v>0.16235897435897434</v>
      </c>
      <c r="F23" t="s">
        <v>157</v>
      </c>
      <c r="G23">
        <f t="shared" ref="G23:L23" si="7">C2*(C12-C7)/(C12-C13)</f>
        <v>2.4249999999999997E-2</v>
      </c>
      <c r="H23">
        <f t="shared" si="7"/>
        <v>0</v>
      </c>
      <c r="I23">
        <f t="shared" si="7"/>
        <v>0</v>
      </c>
      <c r="J23">
        <f t="shared" si="7"/>
        <v>0</v>
      </c>
      <c r="K23">
        <f t="shared" si="7"/>
        <v>0</v>
      </c>
      <c r="L23">
        <f t="shared" si="7"/>
        <v>0.13810897435897435</v>
      </c>
      <c r="M23" t="s">
        <v>170</v>
      </c>
      <c r="N23">
        <f t="shared" si="4"/>
        <v>0.13810897435897435</v>
      </c>
      <c r="O23" t="s">
        <v>179</v>
      </c>
      <c r="P23">
        <f t="shared" si="5"/>
        <v>0</v>
      </c>
    </row>
    <row r="24" spans="2:16" x14ac:dyDescent="0.25">
      <c r="C24" t="s">
        <v>146</v>
      </c>
      <c r="D24">
        <f>C2*(C12-C8)/(C12-C13)+D2*(D12-D8)/(D12-D13)+E2*(E12-E8)/(E12-E13)+F2*(F12-F8)/(F12-F13)+G2*(G12-G8)/(G12-G13)+H2*(H12-H8)/(H12-H13)</f>
        <v>0.36808146785979845</v>
      </c>
      <c r="F24" t="s">
        <v>158</v>
      </c>
      <c r="G24">
        <f t="shared" ref="G24:L24" si="8">C2*(C12-C8)/(C12-C13)</f>
        <v>2.4249999999999997E-2</v>
      </c>
      <c r="H24">
        <f t="shared" si="8"/>
        <v>7.3121597096188744E-3</v>
      </c>
      <c r="I24">
        <f t="shared" si="8"/>
        <v>8.5414634146341456E-2</v>
      </c>
      <c r="J24">
        <f t="shared" si="8"/>
        <v>0.11218567633484038</v>
      </c>
      <c r="K24">
        <f t="shared" si="8"/>
        <v>0</v>
      </c>
      <c r="L24">
        <f t="shared" si="8"/>
        <v>0.13891899766899771</v>
      </c>
      <c r="M24" t="s">
        <v>171</v>
      </c>
      <c r="N24">
        <f t="shared" si="4"/>
        <v>0.13891899766899771</v>
      </c>
      <c r="O24" t="s">
        <v>180</v>
      </c>
      <c r="P24">
        <f t="shared" si="5"/>
        <v>0</v>
      </c>
    </row>
    <row r="25" spans="2:16" x14ac:dyDescent="0.25">
      <c r="C25" t="s">
        <v>147</v>
      </c>
      <c r="D25">
        <f>C2*(C12-C9)/(C12-C13)+D2*(D12-D9)/(D12-D13)+E2*(E12-E9)/(E12-E13)+F2*(F12-F9)/(F12-F13)+G2*(G12-G9)/(G12-G13)+H2*(H12-H9)/(H12-H13)</f>
        <v>0.38993964033258749</v>
      </c>
      <c r="F25" t="s">
        <v>159</v>
      </c>
      <c r="G25">
        <f t="shared" ref="G25:L25" si="9">C2*(C12-C9)/(C12-C13)</f>
        <v>2.4249999999999997E-2</v>
      </c>
      <c r="H25">
        <f t="shared" si="9"/>
        <v>2.7243386569872963E-2</v>
      </c>
      <c r="I25">
        <f t="shared" si="9"/>
        <v>0.11556097560975609</v>
      </c>
      <c r="J25">
        <f t="shared" si="9"/>
        <v>8.3885278152958445E-2</v>
      </c>
      <c r="K25">
        <f t="shared" si="9"/>
        <v>0</v>
      </c>
      <c r="L25">
        <f t="shared" si="9"/>
        <v>0.13900000000000001</v>
      </c>
      <c r="M25" t="s">
        <v>172</v>
      </c>
      <c r="N25">
        <f t="shared" si="4"/>
        <v>0.13900000000000001</v>
      </c>
      <c r="O25" t="s">
        <v>181</v>
      </c>
      <c r="P25">
        <f t="shared" si="5"/>
        <v>0</v>
      </c>
    </row>
    <row r="26" spans="2:16" x14ac:dyDescent="0.25">
      <c r="C26" s="9" t="s">
        <v>163</v>
      </c>
      <c r="D26" s="9">
        <f>MAX(D20:D25)</f>
        <v>0.86199999999999999</v>
      </c>
      <c r="M26" s="9" t="s">
        <v>165</v>
      </c>
      <c r="N26" s="9">
        <f>MAX(N20:N25)</f>
        <v>0.29099999999999998</v>
      </c>
    </row>
    <row r="27" spans="2:16" x14ac:dyDescent="0.25">
      <c r="C27" s="9" t="s">
        <v>164</v>
      </c>
      <c r="D27" s="9">
        <f>MIN(D20:D25)</f>
        <v>0.16235897435897434</v>
      </c>
      <c r="E27" s="6" t="s">
        <v>18</v>
      </c>
      <c r="F27" s="6" t="s">
        <v>188</v>
      </c>
      <c r="G27">
        <f>0.5*(D20-D27)/(D26-D27)+0.5*(N20-N27)/(N26-N27)</f>
        <v>0.16273422315666172</v>
      </c>
      <c r="M27" s="9" t="s">
        <v>166</v>
      </c>
      <c r="N27" s="9">
        <f>MIN(N20:N25)</f>
        <v>0.1360839160839161</v>
      </c>
    </row>
    <row r="28" spans="2:16" x14ac:dyDescent="0.25">
      <c r="F28" s="6" t="s">
        <v>189</v>
      </c>
      <c r="G28">
        <f>0.5*(D21-D27)/(D26-D27)+0.5*(N21-N27)/(N26-N27)</f>
        <v>0.21046025319662182</v>
      </c>
    </row>
    <row r="29" spans="2:16" x14ac:dyDescent="0.25">
      <c r="D29" s="9" t="s">
        <v>187</v>
      </c>
      <c r="E29" s="9">
        <f>0.5</f>
        <v>0.5</v>
      </c>
      <c r="F29" s="6" t="s">
        <v>190</v>
      </c>
      <c r="G29">
        <f>0.5*(D22-D27)/(D26-D27)+0.5*(N22-N27)/(N26-N27)</f>
        <v>1</v>
      </c>
    </row>
    <row r="30" spans="2:16" x14ac:dyDescent="0.25">
      <c r="F30" s="6" t="s">
        <v>191</v>
      </c>
      <c r="G30">
        <f>0.5*(D23-D27)/(D26-D27)+0.5*(N23-N27)/(N26-N27)</f>
        <v>6.5359845920040134E-3</v>
      </c>
    </row>
    <row r="31" spans="2:16" x14ac:dyDescent="0.25">
      <c r="F31" s="6" t="s">
        <v>192</v>
      </c>
      <c r="G31">
        <f>0.5*(D24-D27)/(D26-D27)+0.5*(N24-N27)/(N26-N27)</f>
        <v>0.15617041153245126</v>
      </c>
    </row>
    <row r="32" spans="2:16" x14ac:dyDescent="0.25">
      <c r="F32" s="6" t="s">
        <v>193</v>
      </c>
      <c r="G32">
        <f>0.5*(D25-D27)/(D26-D27)+0.5*(N25-N27)/(N26-N27)</f>
        <v>0.17205284201850568</v>
      </c>
    </row>
    <row r="38" spans="4:22" x14ac:dyDescent="0.25">
      <c r="D38" s="6" t="s">
        <v>0</v>
      </c>
      <c r="E38" t="s">
        <v>207</v>
      </c>
      <c r="F38" t="s">
        <v>202</v>
      </c>
      <c r="G38" t="s">
        <v>208</v>
      </c>
      <c r="H38" t="s">
        <v>203</v>
      </c>
      <c r="I38" t="s">
        <v>206</v>
      </c>
      <c r="J38" t="s">
        <v>205</v>
      </c>
    </row>
    <row r="39" spans="4:22" ht="45" x14ac:dyDescent="0.25">
      <c r="D39" s="11" t="s">
        <v>227</v>
      </c>
      <c r="E39">
        <v>0</v>
      </c>
      <c r="F39">
        <v>2.3676199637023596E-2</v>
      </c>
      <c r="G39">
        <v>0.11824065040650404</v>
      </c>
      <c r="H39">
        <v>0.11206928582397534</v>
      </c>
      <c r="I39">
        <v>0</v>
      </c>
      <c r="J39">
        <v>0.1360839160839161</v>
      </c>
      <c r="K39" t="s">
        <v>167</v>
      </c>
      <c r="L39">
        <v>0.1360839160839161</v>
      </c>
      <c r="P39" s="11" t="s">
        <v>209</v>
      </c>
      <c r="Q39" t="s">
        <v>167</v>
      </c>
      <c r="R39">
        <v>0.1360839160839161</v>
      </c>
      <c r="S39" t="s">
        <v>176</v>
      </c>
      <c r="T39">
        <v>0</v>
      </c>
      <c r="U39" s="6" t="s">
        <v>188</v>
      </c>
      <c r="V39">
        <v>0.16273422315666172</v>
      </c>
    </row>
    <row r="40" spans="4:22" ht="45" x14ac:dyDescent="0.25">
      <c r="D40" s="11" t="s">
        <v>226</v>
      </c>
      <c r="E40">
        <v>2.4249999999999997E-2</v>
      </c>
      <c r="F40">
        <v>4.6740471869328497E-2</v>
      </c>
      <c r="G40">
        <v>0.13565853658536584</v>
      </c>
      <c r="H40">
        <v>0.11411930462667276</v>
      </c>
      <c r="I40">
        <v>0</v>
      </c>
      <c r="J40">
        <v>0.1360839160839161</v>
      </c>
      <c r="K40" t="s">
        <v>168</v>
      </c>
      <c r="L40">
        <v>0.1360839160839161</v>
      </c>
      <c r="P40" s="11" t="s">
        <v>197</v>
      </c>
      <c r="Q40" t="s">
        <v>168</v>
      </c>
      <c r="R40">
        <v>0.1360839160839161</v>
      </c>
      <c r="S40" t="s">
        <v>177</v>
      </c>
      <c r="T40">
        <v>0</v>
      </c>
      <c r="U40" s="6" t="s">
        <v>189</v>
      </c>
      <c r="V40">
        <v>0.21046025319662182</v>
      </c>
    </row>
    <row r="41" spans="4:22" ht="45" x14ac:dyDescent="0.25">
      <c r="D41" s="11" t="s">
        <v>198</v>
      </c>
      <c r="E41">
        <v>0.29099999999999998</v>
      </c>
      <c r="F41">
        <v>7.9000000000000001E-2</v>
      </c>
      <c r="G41">
        <v>0.20599999999999999</v>
      </c>
      <c r="H41">
        <v>0.188</v>
      </c>
      <c r="I41">
        <v>9.8000000000000004E-2</v>
      </c>
      <c r="J41">
        <v>0</v>
      </c>
      <c r="K41" t="s">
        <v>169</v>
      </c>
      <c r="L41">
        <v>0.29099999999999998</v>
      </c>
      <c r="P41" s="11" t="s">
        <v>198</v>
      </c>
      <c r="Q41" t="s">
        <v>169</v>
      </c>
      <c r="R41">
        <v>0.29099999999999998</v>
      </c>
      <c r="S41" t="s">
        <v>178</v>
      </c>
      <c r="T41">
        <v>0</v>
      </c>
      <c r="U41" s="6" t="s">
        <v>190</v>
      </c>
      <c r="V41">
        <v>1</v>
      </c>
    </row>
    <row r="42" spans="4:22" x14ac:dyDescent="0.25">
      <c r="D42" s="11" t="s">
        <v>199</v>
      </c>
      <c r="E42">
        <v>2.4249999999999997E-2</v>
      </c>
      <c r="F42">
        <v>0</v>
      </c>
      <c r="G42">
        <v>0</v>
      </c>
      <c r="H42">
        <v>0</v>
      </c>
      <c r="I42">
        <v>0</v>
      </c>
      <c r="J42">
        <v>0.13810897435897435</v>
      </c>
      <c r="K42" t="s">
        <v>170</v>
      </c>
      <c r="L42">
        <v>0.13810897435897435</v>
      </c>
      <c r="P42" s="11" t="s">
        <v>199</v>
      </c>
      <c r="Q42" t="s">
        <v>170</v>
      </c>
      <c r="R42">
        <v>0.13810897435897435</v>
      </c>
      <c r="S42" t="s">
        <v>179</v>
      </c>
      <c r="T42">
        <v>0</v>
      </c>
      <c r="U42" s="6" t="s">
        <v>191</v>
      </c>
      <c r="V42">
        <v>6.5359845920040134E-3</v>
      </c>
    </row>
    <row r="43" spans="4:22" x14ac:dyDescent="0.25">
      <c r="D43" s="11" t="s">
        <v>200</v>
      </c>
      <c r="E43">
        <v>2.4249999999999997E-2</v>
      </c>
      <c r="F43">
        <v>7.3121597096188744E-3</v>
      </c>
      <c r="G43">
        <v>8.5414634146341456E-2</v>
      </c>
      <c r="H43">
        <v>0.11218567633484038</v>
      </c>
      <c r="I43">
        <v>0</v>
      </c>
      <c r="J43">
        <v>0.13891899766899771</v>
      </c>
      <c r="K43" t="s">
        <v>171</v>
      </c>
      <c r="L43">
        <v>0.13891899766899771</v>
      </c>
      <c r="P43" s="11" t="s">
        <v>200</v>
      </c>
      <c r="Q43" t="s">
        <v>171</v>
      </c>
      <c r="R43">
        <v>0.13891899766899771</v>
      </c>
      <c r="S43" t="s">
        <v>180</v>
      </c>
      <c r="T43">
        <v>0</v>
      </c>
      <c r="U43" s="6" t="s">
        <v>192</v>
      </c>
      <c r="V43">
        <v>0.15617041153245126</v>
      </c>
    </row>
    <row r="44" spans="4:22" x14ac:dyDescent="0.25">
      <c r="D44" s="11" t="s">
        <v>210</v>
      </c>
      <c r="E44">
        <v>2.4249999999999997E-2</v>
      </c>
      <c r="F44">
        <v>2.7243386569872963E-2</v>
      </c>
      <c r="G44">
        <v>0.11556097560975609</v>
      </c>
      <c r="H44">
        <v>8.3885278152958445E-2</v>
      </c>
      <c r="I44">
        <v>0</v>
      </c>
      <c r="J44">
        <v>0.13900000000000001</v>
      </c>
      <c r="K44" t="s">
        <v>172</v>
      </c>
      <c r="L44">
        <v>0.13900000000000001</v>
      </c>
      <c r="P44" s="11" t="s">
        <v>210</v>
      </c>
      <c r="Q44" t="s">
        <v>172</v>
      </c>
      <c r="R44">
        <v>0.13900000000000001</v>
      </c>
      <c r="S44" t="s">
        <v>181</v>
      </c>
      <c r="T44">
        <v>0</v>
      </c>
      <c r="U44" s="6" t="s">
        <v>193</v>
      </c>
      <c r="V44">
        <v>0.17205284201850568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60" zoomScaleNormal="60" workbookViewId="0">
      <selection activeCell="X5" sqref="X5"/>
    </sheetView>
  </sheetViews>
  <sheetFormatPr baseColWidth="10" defaultRowHeight="15" x14ac:dyDescent="0.25"/>
  <cols>
    <col min="4" max="4" width="15.42578125" customWidth="1"/>
    <col min="24" max="24" width="14.7109375" bestFit="1" customWidth="1"/>
  </cols>
  <sheetData>
    <row r="1" spans="1:24" x14ac:dyDescent="0.25">
      <c r="C1" t="str">
        <f>C3</f>
        <v>MODULO DE YOUNG(Gpas)</v>
      </c>
      <c r="D1" t="str">
        <f t="shared" ref="D1:G1" si="0">D3</f>
        <v>ESFUERZO DE VON MISSES (Mpa)</v>
      </c>
      <c r="E1" t="str">
        <f t="shared" si="0"/>
        <v>TENSILE STRENGH ULTIMATE (Mpa)</v>
      </c>
      <c r="F1" t="str">
        <f t="shared" si="0"/>
        <v>DEFORMACIÓN PLÁSTICA %</v>
      </c>
      <c r="G1" t="str">
        <f t="shared" si="0"/>
        <v>RADIO DE POISON</v>
      </c>
      <c r="H1" t="str">
        <f>H3</f>
        <v>Density  g/cc</v>
      </c>
    </row>
    <row r="2" spans="1:24" x14ac:dyDescent="0.25">
      <c r="B2" s="6" t="s">
        <v>123</v>
      </c>
      <c r="C2">
        <v>0.29099999999999998</v>
      </c>
      <c r="D2">
        <v>7.9000000000000001E-2</v>
      </c>
      <c r="E2">
        <v>0.20599999999999999</v>
      </c>
      <c r="F2">
        <v>0.188</v>
      </c>
      <c r="G2">
        <v>9.8000000000000004E-2</v>
      </c>
      <c r="H2">
        <v>0.13900000000000001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</row>
    <row r="3" spans="1:24" ht="81" x14ac:dyDescent="0.25">
      <c r="A3" s="6" t="s">
        <v>110</v>
      </c>
      <c r="B3" s="6" t="s">
        <v>0</v>
      </c>
      <c r="C3" s="12" t="s">
        <v>207</v>
      </c>
      <c r="D3" s="12" t="s">
        <v>202</v>
      </c>
      <c r="E3" s="12" t="s">
        <v>208</v>
      </c>
      <c r="F3" s="12" t="s">
        <v>203</v>
      </c>
      <c r="G3" s="12" t="s">
        <v>206</v>
      </c>
      <c r="H3" s="13" t="s">
        <v>205</v>
      </c>
      <c r="J3" t="s">
        <v>141</v>
      </c>
      <c r="K3" t="s">
        <v>142</v>
      </c>
      <c r="L3">
        <f>C2*(C15-C4)/(C15-C16)+D2*(D15-D4)/(D15-D16)+E2*(E15-E4)/(E15-E16)+F2*(F15-F4)/(F15-F16)+G2*(G15-G4)/(G15-G16)+H2*(H15-H4)/(H15-H16)</f>
        <v>0.61314463923830942</v>
      </c>
      <c r="M3" t="s">
        <v>153</v>
      </c>
      <c r="N3" t="s">
        <v>154</v>
      </c>
      <c r="O3">
        <f>C2*(C15-C4)/(C15-C16)</f>
        <v>0.27485326757090012</v>
      </c>
      <c r="P3">
        <f t="shared" ref="P3:T3" si="1">D2*(D15-D4)/(D15-D16)</f>
        <v>7.9000000000000001E-2</v>
      </c>
      <c r="Q3">
        <f t="shared" si="1"/>
        <v>0.12735252477583764</v>
      </c>
      <c r="R3">
        <f t="shared" si="1"/>
        <v>3.39388468915717E-2</v>
      </c>
      <c r="S3">
        <f t="shared" si="1"/>
        <v>9.8000000000000004E-2</v>
      </c>
      <c r="T3">
        <f t="shared" si="1"/>
        <v>0</v>
      </c>
      <c r="U3" t="s">
        <v>167</v>
      </c>
      <c r="V3">
        <f>MAX(O3:T3)</f>
        <v>0.27485326757090012</v>
      </c>
      <c r="W3" t="s">
        <v>176</v>
      </c>
      <c r="X3">
        <f>MIN(O3:T3)</f>
        <v>0</v>
      </c>
    </row>
    <row r="4" spans="1:24" x14ac:dyDescent="0.25">
      <c r="A4">
        <v>1</v>
      </c>
      <c r="B4" t="s">
        <v>101</v>
      </c>
      <c r="C4">
        <v>210</v>
      </c>
      <c r="D4">
        <v>330</v>
      </c>
      <c r="E4">
        <v>54.5</v>
      </c>
      <c r="F4">
        <v>1.1100000000000001E-3</v>
      </c>
      <c r="G4">
        <v>150</v>
      </c>
      <c r="H4">
        <v>0.67300000000000004</v>
      </c>
      <c r="J4" t="s">
        <v>151</v>
      </c>
      <c r="K4" t="s">
        <v>143</v>
      </c>
      <c r="L4">
        <f>C2*(C15-C5)/(C15-C16)+D2*(D15-D5)/(D15-D16)+E2*(E15-E5)/(E15-E16)+F2*(F15-F5)/(F15-F16)+G2*(G15-G5)/(G15-G16)+H2*(H15-H5)/(H15-H16)</f>
        <v>0.59567874770221629</v>
      </c>
      <c r="N4" t="s">
        <v>155</v>
      </c>
      <c r="O4">
        <f>C2*(C15-C5)/(C15-C16)</f>
        <v>0.27341800246609121</v>
      </c>
      <c r="P4">
        <f t="shared" ref="P4:T4" si="2">D2*(D15-D5)/(D15-D16)</f>
        <v>7.313558282208589E-2</v>
      </c>
      <c r="Q4">
        <f t="shared" si="2"/>
        <v>0.1438791882963662</v>
      </c>
      <c r="R4">
        <f t="shared" si="2"/>
        <v>2.5454135168678782E-2</v>
      </c>
      <c r="S4">
        <f t="shared" si="2"/>
        <v>7.9736363636363647E-2</v>
      </c>
      <c r="T4">
        <f t="shared" si="2"/>
        <v>5.5475312630658679E-5</v>
      </c>
      <c r="U4" t="s">
        <v>168</v>
      </c>
      <c r="V4">
        <f t="shared" ref="V4:V11" si="3">MAX(O4:T4)</f>
        <v>0.27341800246609121</v>
      </c>
      <c r="W4" t="s">
        <v>177</v>
      </c>
      <c r="X4">
        <f>MIN(O4:T4)</f>
        <v>5.5475312630658679E-5</v>
      </c>
    </row>
    <row r="5" spans="1:24" x14ac:dyDescent="0.25">
      <c r="A5">
        <v>2</v>
      </c>
      <c r="B5" t="s">
        <v>102</v>
      </c>
      <c r="C5">
        <v>212</v>
      </c>
      <c r="D5">
        <v>632.5</v>
      </c>
      <c r="E5">
        <v>46</v>
      </c>
      <c r="F5">
        <v>1.17E-3</v>
      </c>
      <c r="G5">
        <v>355</v>
      </c>
      <c r="H5">
        <v>0.70450000000000002</v>
      </c>
      <c r="J5" t="s">
        <v>152</v>
      </c>
      <c r="K5" t="s">
        <v>144</v>
      </c>
      <c r="L5">
        <f>C2*(C15-C6)/(C15-C16)+D2*(D15-D6)/(D15-D16)+E2*(E15-E6)/(E15-E16)+F2*(F15-F6)/(F15-F16)+G2*(G15-G6)/(G15-G16)+H2*(H15-H6)/(H15-H16)</f>
        <v>0.61191376103726303</v>
      </c>
      <c r="N5" t="s">
        <v>156</v>
      </c>
      <c r="O5">
        <f>C2*(C15-C6)/(C15-C16)</f>
        <v>0.27341800246609121</v>
      </c>
      <c r="P5">
        <f t="shared" ref="P5:T5" si="4">D2*(D15-D6)/(D15-D16)</f>
        <v>7.2699386503067481E-2</v>
      </c>
      <c r="Q5">
        <f t="shared" si="4"/>
        <v>6.3190184049079751E-2</v>
      </c>
      <c r="R5">
        <f t="shared" si="4"/>
        <v>0.11807890481025989</v>
      </c>
      <c r="S5">
        <f t="shared" si="4"/>
        <v>8.4190909090909094E-2</v>
      </c>
      <c r="T5">
        <f t="shared" si="4"/>
        <v>3.363741178557401E-4</v>
      </c>
      <c r="U5" t="s">
        <v>169</v>
      </c>
      <c r="V5">
        <f t="shared" si="3"/>
        <v>0.27341800246609121</v>
      </c>
      <c r="W5" t="s">
        <v>178</v>
      </c>
      <c r="X5">
        <f t="shared" ref="X5:X11" si="5">MIN(O5:T5)</f>
        <v>3.363741178557401E-4</v>
      </c>
    </row>
    <row r="6" spans="1:24" x14ac:dyDescent="0.25">
      <c r="A6">
        <v>3</v>
      </c>
      <c r="B6" t="s">
        <v>103</v>
      </c>
      <c r="C6">
        <v>212</v>
      </c>
      <c r="D6">
        <v>655</v>
      </c>
      <c r="E6">
        <v>87.5</v>
      </c>
      <c r="F6">
        <v>5.1500000000000005E-4</v>
      </c>
      <c r="G6">
        <v>305</v>
      </c>
      <c r="H6">
        <v>0.86399999999999999</v>
      </c>
      <c r="K6" t="s">
        <v>145</v>
      </c>
      <c r="L6">
        <f>C2*(C15-C7)/(C15-C16)+D2*(D15-D7)/(D15-D16)+E2*(E15-E7)/(E15-E16)+F2*(F15-F7)/(F15-F16)+G2*(G15-G7)/(G15-G16)+H2*(H15-H7)/(H15-H16)</f>
        <v>0.71501821998981474</v>
      </c>
      <c r="N6" t="s">
        <v>157</v>
      </c>
      <c r="O6">
        <f>C2*(C15-C7)/(C15-C16)</f>
        <v>0.27736498150431566</v>
      </c>
      <c r="P6">
        <f t="shared" ref="P6:T6" si="6">D2*(D15-D7)/(D15-D16)</f>
        <v>5.4863803680981593E-2</v>
      </c>
      <c r="Q6">
        <f t="shared" si="6"/>
        <v>0.1594336951392166</v>
      </c>
      <c r="R6">
        <f t="shared" si="6"/>
        <v>0.15413892963255482</v>
      </c>
      <c r="S6">
        <f t="shared" si="6"/>
        <v>6.8332727272727267E-2</v>
      </c>
      <c r="T6">
        <f t="shared" si="6"/>
        <v>8.8408276001875172E-4</v>
      </c>
      <c r="U6" t="s">
        <v>170</v>
      </c>
      <c r="V6">
        <f t="shared" si="3"/>
        <v>0.27736498150431566</v>
      </c>
      <c r="W6" t="s">
        <v>179</v>
      </c>
      <c r="X6">
        <f t="shared" si="5"/>
        <v>8.8408276001875172E-4</v>
      </c>
    </row>
    <row r="7" spans="1:24" x14ac:dyDescent="0.25">
      <c r="A7">
        <v>4</v>
      </c>
      <c r="B7" t="s">
        <v>104</v>
      </c>
      <c r="C7">
        <v>206.5</v>
      </c>
      <c r="D7">
        <v>1575</v>
      </c>
      <c r="E7">
        <v>38</v>
      </c>
      <c r="F7">
        <v>2.5999999999999998E-4</v>
      </c>
      <c r="G7">
        <v>483</v>
      </c>
      <c r="H7">
        <v>1.175</v>
      </c>
      <c r="K7" t="s">
        <v>146</v>
      </c>
      <c r="L7">
        <f>C2*(C15-C8)/(C15-C16)+D2*(D15-D8)/(D15-D16)+E2*(E15-E8)/(E15-E16)+F2*(F15-F8)/(F15-F16)+G2*(G15-G8)/(G15-G16)+H2*(H15-H8)/(H15-H16)</f>
        <v>0.53213664703180785</v>
      </c>
      <c r="N7" t="s">
        <v>158</v>
      </c>
      <c r="O7">
        <f>C2*(C15-C8)/(C15-C16)</f>
        <v>0.27736498150431566</v>
      </c>
      <c r="P7">
        <f t="shared" ref="P7:T7" si="7">D2*(D15-D8)/(D15-D16)</f>
        <v>7.8418404907975456E-2</v>
      </c>
      <c r="Q7">
        <f t="shared" si="7"/>
        <v>1.6526663520528551E-2</v>
      </c>
      <c r="R7">
        <f t="shared" si="7"/>
        <v>6.5049456542179113E-2</v>
      </c>
      <c r="S7">
        <f t="shared" si="7"/>
        <v>9.4436363636363652E-2</v>
      </c>
      <c r="T7">
        <f t="shared" si="7"/>
        <v>3.4077692044547504E-4</v>
      </c>
      <c r="U7" t="s">
        <v>171</v>
      </c>
      <c r="V7">
        <f t="shared" si="3"/>
        <v>0.27736498150431566</v>
      </c>
      <c r="W7" t="s">
        <v>180</v>
      </c>
      <c r="X7">
        <f t="shared" si="5"/>
        <v>3.4077692044547504E-4</v>
      </c>
    </row>
    <row r="8" spans="1:24" x14ac:dyDescent="0.25">
      <c r="A8">
        <v>5</v>
      </c>
      <c r="B8" t="s">
        <v>105</v>
      </c>
      <c r="C8">
        <v>206.5</v>
      </c>
      <c r="D8">
        <v>360</v>
      </c>
      <c r="E8">
        <v>111.5</v>
      </c>
      <c r="F8">
        <v>8.8999999999999995E-4</v>
      </c>
      <c r="G8">
        <v>190</v>
      </c>
      <c r="H8">
        <v>0.86650000000000005</v>
      </c>
      <c r="K8" t="s">
        <v>147</v>
      </c>
      <c r="L8">
        <f>C2*(C15-C9)/(C15-C16)+D2*(D15-D9)/(D15-D16)+E2*(E15-E9)/(E15-E16)+F2*(F15-F9)/(F15-F16)+G2*(G15-G9)/(G15-G16)+H2*(H15-H9)/(H15-H16)</f>
        <v>0.58430581027497175</v>
      </c>
      <c r="N8" t="s">
        <v>159</v>
      </c>
      <c r="O8">
        <f>C2*(C15-C9)/(C15-C16)</f>
        <v>0.29099999999999998</v>
      </c>
      <c r="P8">
        <f t="shared" ref="P8:T8" si="8">D2*(D15-D9)/(D15-D16)</f>
        <v>5.0017177914110429E-2</v>
      </c>
      <c r="Q8">
        <f t="shared" si="8"/>
        <v>7.7772534214252009E-2</v>
      </c>
      <c r="R8">
        <f t="shared" si="8"/>
        <v>9.0503591710857881E-2</v>
      </c>
      <c r="S8">
        <f t="shared" si="8"/>
        <v>6.392272727272727E-2</v>
      </c>
      <c r="T8">
        <f t="shared" si="8"/>
        <v>1.1089779163024062E-2</v>
      </c>
      <c r="U8" t="s">
        <v>172</v>
      </c>
      <c r="V8">
        <f t="shared" si="3"/>
        <v>0.29099999999999998</v>
      </c>
      <c r="W8" t="s">
        <v>181</v>
      </c>
      <c r="X8">
        <f t="shared" si="5"/>
        <v>1.1089779163024062E-2</v>
      </c>
    </row>
    <row r="9" spans="1:24" x14ac:dyDescent="0.25">
      <c r="A9">
        <v>6</v>
      </c>
      <c r="B9" t="s">
        <v>106</v>
      </c>
      <c r="C9">
        <v>187.5</v>
      </c>
      <c r="D9">
        <v>1825</v>
      </c>
      <c r="E9">
        <v>80</v>
      </c>
      <c r="F9">
        <v>7.1000000000000002E-4</v>
      </c>
      <c r="G9">
        <v>532.5</v>
      </c>
      <c r="H9">
        <v>6.97</v>
      </c>
      <c r="K9" t="s">
        <v>148</v>
      </c>
      <c r="L9">
        <f>C2*(C15-C10)/(C15-C16)+D2*(D15-D10)/(D15-D16)+E2*(E15-E10)/(E15-E16)+F2*(F15-F10)/(F15-F16)+G2*(G15-G10)/(G15-G16)+H2*(H15-H10)/(H15-H16)</f>
        <v>0.7588825529173796</v>
      </c>
      <c r="N9" t="s">
        <v>160</v>
      </c>
      <c r="O9">
        <f>C2*(C15-C10)/(C15-C16)</f>
        <v>0.27485326757090012</v>
      </c>
      <c r="P9">
        <f t="shared" ref="P9:T9" si="9">D2*(D15-D10)/(D15-D16)</f>
        <v>4.7981595092024543E-2</v>
      </c>
      <c r="Q9">
        <f t="shared" si="9"/>
        <v>0.19248702218027369</v>
      </c>
      <c r="R9">
        <f t="shared" si="9"/>
        <v>0.188</v>
      </c>
      <c r="S9">
        <f t="shared" si="9"/>
        <v>4.2674545454545458E-2</v>
      </c>
      <c r="T9">
        <f t="shared" si="9"/>
        <v>1.2886122619635869E-2</v>
      </c>
      <c r="U9" t="s">
        <v>175</v>
      </c>
      <c r="V9">
        <f t="shared" si="3"/>
        <v>0.27485326757090012</v>
      </c>
      <c r="W9" t="s">
        <v>182</v>
      </c>
      <c r="X9">
        <f t="shared" si="5"/>
        <v>1.2886122619635869E-2</v>
      </c>
    </row>
    <row r="10" spans="1:24" x14ac:dyDescent="0.25">
      <c r="A10">
        <v>7</v>
      </c>
      <c r="B10" t="s">
        <v>107</v>
      </c>
      <c r="C10">
        <v>210</v>
      </c>
      <c r="D10">
        <v>1930</v>
      </c>
      <c r="E10">
        <v>21</v>
      </c>
      <c r="F10">
        <v>2.0550000000000001E-5</v>
      </c>
      <c r="G10">
        <v>771</v>
      </c>
      <c r="H10">
        <v>7.99</v>
      </c>
      <c r="K10" t="s">
        <v>149</v>
      </c>
      <c r="L10">
        <f>C2*(C15-C11)/(C15-C16)+D2*(D15-D11)/(D15-D16)+E2*(E15-E11)/(E15-E16)+F2*(F15-F11)/(F15-F16)+G2*(G15-G11)/(G15-G16)+H2*(H15-H11)/(H15-H16)</f>
        <v>0.34499999999999997</v>
      </c>
      <c r="N10" t="s">
        <v>161</v>
      </c>
      <c r="O10">
        <f>C2*(C15-C11)/(C15-C16)</f>
        <v>0</v>
      </c>
      <c r="P10">
        <f t="shared" ref="P10:T10" si="10">D2*(D15-D11)/(D15-D16)</f>
        <v>0</v>
      </c>
      <c r="Q10">
        <f t="shared" si="10"/>
        <v>0.20599999999999996</v>
      </c>
      <c r="R10">
        <f t="shared" si="10"/>
        <v>0</v>
      </c>
      <c r="S10">
        <f t="shared" si="10"/>
        <v>0</v>
      </c>
      <c r="T10">
        <f t="shared" si="10"/>
        <v>0.13900000000000001</v>
      </c>
      <c r="U10" t="s">
        <v>173</v>
      </c>
      <c r="V10">
        <f t="shared" si="3"/>
        <v>0.20599999999999996</v>
      </c>
      <c r="W10" t="s">
        <v>183</v>
      </c>
      <c r="X10">
        <f t="shared" si="5"/>
        <v>0</v>
      </c>
    </row>
    <row r="11" spans="1:24" x14ac:dyDescent="0.25">
      <c r="A11">
        <v>8</v>
      </c>
      <c r="B11" t="s">
        <v>108</v>
      </c>
      <c r="C11">
        <v>593</v>
      </c>
      <c r="D11">
        <v>4405</v>
      </c>
      <c r="E11">
        <v>14.05</v>
      </c>
      <c r="F11">
        <v>1.3500000000000001E-3</v>
      </c>
      <c r="G11">
        <v>1250</v>
      </c>
      <c r="H11">
        <v>79.599999999999994</v>
      </c>
      <c r="K11" t="s">
        <v>150</v>
      </c>
      <c r="L11">
        <f>C2*(C15-C12)/(C15-C16)+D2*(D15-D12)/(D15-D16)+E2*(E15-E12)/(E15-E16)+F2*(F15-F12)/(F15-F16)+G2*(G15-G12)/(G15-G16)+H2*(H15-H12)/(H15-H16)</f>
        <v>0.43075054784738276</v>
      </c>
      <c r="N11" t="s">
        <v>162</v>
      </c>
      <c r="O11">
        <f>C2*(C15-C12)/(C15-C16)</f>
        <v>0.273059186189889</v>
      </c>
      <c r="P11">
        <f t="shared" ref="P11:T11" si="11">D2*(D15-D12)/(D15-D16)</f>
        <v>5.3312883435582825E-2</v>
      </c>
      <c r="Q11">
        <f t="shared" si="11"/>
        <v>0</v>
      </c>
      <c r="R11">
        <f t="shared" si="11"/>
        <v>3.1110609650607413E-2</v>
      </c>
      <c r="S11">
        <f t="shared" si="11"/>
        <v>7.1406363636363629E-2</v>
      </c>
      <c r="T11">
        <f t="shared" si="11"/>
        <v>1.8615049349398813E-3</v>
      </c>
      <c r="U11" t="s">
        <v>174</v>
      </c>
      <c r="V11">
        <f t="shared" si="3"/>
        <v>0.273059186189889</v>
      </c>
      <c r="W11" t="s">
        <v>184</v>
      </c>
      <c r="X11">
        <f t="shared" si="5"/>
        <v>0</v>
      </c>
    </row>
    <row r="12" spans="1:24" x14ac:dyDescent="0.25">
      <c r="A12">
        <v>9</v>
      </c>
      <c r="B12" t="s">
        <v>109</v>
      </c>
      <c r="C12">
        <v>212.5</v>
      </c>
      <c r="D12">
        <v>1655</v>
      </c>
      <c r="E12">
        <v>120</v>
      </c>
      <c r="F12">
        <v>1.1299999999999999E-3</v>
      </c>
      <c r="G12">
        <v>448.5</v>
      </c>
      <c r="H12">
        <v>1.73</v>
      </c>
      <c r="K12" s="9" t="s">
        <v>163</v>
      </c>
      <c r="L12" s="9">
        <f>MAX(L3:L11)</f>
        <v>0.7588825529173796</v>
      </c>
      <c r="U12" s="9" t="s">
        <v>165</v>
      </c>
      <c r="V12" s="9">
        <f>MAX(V3:V11)</f>
        <v>0.29099999999999998</v>
      </c>
    </row>
    <row r="13" spans="1:24" x14ac:dyDescent="0.25">
      <c r="B13" s="6" t="s">
        <v>124</v>
      </c>
      <c r="C13" s="7">
        <f>SUM(C4^2+C5^2+C6^2+C7^2+C8^2+C9^2+C10^2+C11^2+C12^2)</f>
        <v>695334</v>
      </c>
      <c r="D13" s="7">
        <f>SUMSQ(D4:D12)</f>
        <v>32746781.25</v>
      </c>
      <c r="E13" s="7">
        <f>SUMSQ(E4:E12)</f>
        <v>48057.152499999997</v>
      </c>
      <c r="F13" s="7">
        <f>SUMSQ(F4:F12)</f>
        <v>7.3298473024999997E-6</v>
      </c>
      <c r="G13" s="7">
        <f>SUMSQ(G4:G12)</f>
        <v>3152588.5</v>
      </c>
      <c r="H13" s="7">
        <f>SUMSQ(H4:H12)</f>
        <v>6455.4010924999993</v>
      </c>
      <c r="K13" s="9" t="s">
        <v>164</v>
      </c>
      <c r="L13" s="9">
        <f>MIN(L3:L11)</f>
        <v>0.34499999999999997</v>
      </c>
      <c r="M13" s="6" t="s">
        <v>18</v>
      </c>
      <c r="N13" s="6" t="s">
        <v>188</v>
      </c>
      <c r="O13">
        <f>0.5*(L3-L13)/(L12-L13)+0.5*(V3-V13)/(V12-V13)</f>
        <v>0.72895730120245317</v>
      </c>
      <c r="U13" s="9" t="s">
        <v>166</v>
      </c>
      <c r="V13" s="9">
        <f>MIN(V3:V11)</f>
        <v>0.20599999999999996</v>
      </c>
    </row>
    <row r="14" spans="1:24" x14ac:dyDescent="0.25">
      <c r="B14" s="6" t="s">
        <v>125</v>
      </c>
      <c r="C14" s="7">
        <f t="shared" ref="C14:H14" si="12">SQRT(C13)</f>
        <v>833.86689585328907</v>
      </c>
      <c r="D14" s="7">
        <f t="shared" si="12"/>
        <v>5722.480340726388</v>
      </c>
      <c r="E14" s="7">
        <f t="shared" si="12"/>
        <v>219.21941633897302</v>
      </c>
      <c r="F14" s="7">
        <f t="shared" si="12"/>
        <v>2.7073690739350628E-3</v>
      </c>
      <c r="G14" s="7">
        <f t="shared" si="12"/>
        <v>1775.5530124442919</v>
      </c>
      <c r="H14" s="7">
        <f t="shared" si="12"/>
        <v>80.345510717774388</v>
      </c>
      <c r="N14" s="6" t="s">
        <v>189</v>
      </c>
      <c r="O14">
        <f>0.5*(L4-L13)/(L12-L13)+0.5*(V4-V13)/(V12-V13)</f>
        <v>0.69941450754236245</v>
      </c>
    </row>
    <row r="15" spans="1:24" x14ac:dyDescent="0.25">
      <c r="B15" s="6" t="s">
        <v>138</v>
      </c>
      <c r="C15">
        <f>MAX(C4:C12)</f>
        <v>593</v>
      </c>
      <c r="D15">
        <f t="shared" ref="D15:G15" si="13">MAX(D4:D12)</f>
        <v>4405</v>
      </c>
      <c r="E15">
        <f t="shared" si="13"/>
        <v>120</v>
      </c>
      <c r="F15">
        <f t="shared" si="13"/>
        <v>1.3500000000000001E-3</v>
      </c>
      <c r="G15">
        <f t="shared" si="13"/>
        <v>1250</v>
      </c>
      <c r="H15">
        <f>MIN(H4:H12)</f>
        <v>0.67300000000000004</v>
      </c>
      <c r="I15" t="s">
        <v>185</v>
      </c>
      <c r="L15" s="9" t="s">
        <v>187</v>
      </c>
      <c r="M15" s="9">
        <f>0.5</f>
        <v>0.5</v>
      </c>
      <c r="N15" s="6" t="s">
        <v>190</v>
      </c>
      <c r="O15">
        <f>0.5*(L5-L13)/(L12-L13)+0.5*(V5-V13)/(V12-V13)</f>
        <v>0.71902757557411356</v>
      </c>
    </row>
    <row r="16" spans="1:24" x14ac:dyDescent="0.25">
      <c r="B16" s="6" t="s">
        <v>139</v>
      </c>
      <c r="C16">
        <f>MIN(C4:C12)</f>
        <v>187.5</v>
      </c>
      <c r="D16">
        <f t="shared" ref="D16:G16" si="14">MIN(D4:D12)</f>
        <v>330</v>
      </c>
      <c r="E16">
        <f t="shared" si="14"/>
        <v>14.05</v>
      </c>
      <c r="F16">
        <f t="shared" si="14"/>
        <v>2.0550000000000001E-5</v>
      </c>
      <c r="G16">
        <f t="shared" si="14"/>
        <v>150</v>
      </c>
      <c r="H16">
        <f>MAX(H4:H12)</f>
        <v>79.599999999999994</v>
      </c>
      <c r="I16" t="s">
        <v>186</v>
      </c>
      <c r="N16" s="6" t="s">
        <v>191</v>
      </c>
      <c r="O16">
        <f>0.5*(L6-L13)/(L12-L13)+0.5*(V6-V13)/(V12-V13)</f>
        <v>0.86680272832938976</v>
      </c>
    </row>
    <row r="17" spans="14:15" x14ac:dyDescent="0.25">
      <c r="N17" s="6" t="s">
        <v>192</v>
      </c>
      <c r="O17">
        <f>0.5*(L7-L13)/(L12-L13)+0.5*(V7-V13)/(V12-V13)</f>
        <v>0.64586858690580307</v>
      </c>
    </row>
    <row r="18" spans="14:15" x14ac:dyDescent="0.25">
      <c r="N18" s="6" t="s">
        <v>193</v>
      </c>
      <c r="O18">
        <f>0.5*(L8-L13)/(L12-L13)+0.5*(V8-V13)/(V12-V13)</f>
        <v>0.78909869308110536</v>
      </c>
    </row>
    <row r="19" spans="14:15" x14ac:dyDescent="0.25">
      <c r="N19" s="6" t="s">
        <v>194</v>
      </c>
      <c r="O19">
        <f>0.5*(L9-L13)/(L12-L13)+0.5*(V9-V13)/(V12-V13)</f>
        <v>0.90501922100529497</v>
      </c>
    </row>
    <row r="20" spans="14:15" x14ac:dyDescent="0.25">
      <c r="N20" s="6" t="s">
        <v>195</v>
      </c>
      <c r="O20">
        <f>0.5*(L10-L13)/(L12-L13)+0.5*(V10-V13)/(V12-V13)</f>
        <v>0</v>
      </c>
    </row>
    <row r="21" spans="14:15" x14ac:dyDescent="0.25">
      <c r="N21" s="6" t="s">
        <v>196</v>
      </c>
      <c r="O21">
        <f>0.5*(L11-L13)/(L12-L13)+0.5*(V11-V13)/(V12-V13)</f>
        <v>0.49805865281241296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E23"/>
  <sheetViews>
    <sheetView tabSelected="1" zoomScale="60" zoomScaleNormal="60" workbookViewId="0">
      <selection activeCell="AU13" sqref="AU13"/>
    </sheetView>
  </sheetViews>
  <sheetFormatPr baseColWidth="10" defaultRowHeight="15" x14ac:dyDescent="0.25"/>
  <cols>
    <col min="18" max="18" width="13.5703125" bestFit="1" customWidth="1"/>
    <col min="33" max="33" width="20.28515625" customWidth="1"/>
    <col min="49" max="49" width="21" customWidth="1"/>
    <col min="57" max="57" width="15.5703125" bestFit="1" customWidth="1"/>
  </cols>
  <sheetData>
    <row r="4" spans="2:57" x14ac:dyDescent="0.25">
      <c r="B4" s="16" t="s">
        <v>214</v>
      </c>
      <c r="C4" s="16"/>
      <c r="D4" s="16"/>
      <c r="E4" s="16"/>
      <c r="F4" s="16"/>
      <c r="G4" s="16"/>
      <c r="H4" s="16"/>
      <c r="I4" s="16"/>
      <c r="K4" s="17" t="s">
        <v>223</v>
      </c>
      <c r="L4" s="17"/>
      <c r="M4" s="17"/>
      <c r="N4" s="17"/>
      <c r="O4" s="17"/>
      <c r="P4" s="17"/>
      <c r="R4" s="16" t="s">
        <v>215</v>
      </c>
      <c r="S4" s="16"/>
      <c r="T4" s="16"/>
      <c r="U4" s="16"/>
      <c r="V4" s="16"/>
      <c r="W4" s="16"/>
      <c r="Y4" s="16" t="s">
        <v>216</v>
      </c>
      <c r="Z4" s="16"/>
      <c r="AA4" s="16"/>
      <c r="AB4" s="16"/>
      <c r="AC4" s="16"/>
      <c r="AD4" s="16"/>
      <c r="AF4" s="16" t="s">
        <v>217</v>
      </c>
      <c r="AG4" s="16"/>
      <c r="AH4" s="16"/>
      <c r="AI4" s="16"/>
      <c r="AJ4" s="16"/>
      <c r="AK4" s="16"/>
      <c r="AM4" s="16" t="s">
        <v>218</v>
      </c>
      <c r="AN4" s="16"/>
      <c r="AO4" s="16"/>
      <c r="AP4" s="16"/>
      <c r="AQ4" s="16"/>
      <c r="AR4" s="16"/>
      <c r="AT4" t="s">
        <v>219</v>
      </c>
      <c r="AV4" s="16" t="s">
        <v>224</v>
      </c>
      <c r="AW4" s="16"/>
      <c r="AX4" s="16"/>
      <c r="AY4" s="16"/>
      <c r="AZ4" s="16"/>
      <c r="BA4" s="16"/>
      <c r="BC4" t="s">
        <v>220</v>
      </c>
      <c r="BD4" t="s">
        <v>221</v>
      </c>
      <c r="BE4" t="s">
        <v>222</v>
      </c>
    </row>
    <row r="6" spans="2:57" ht="81" x14ac:dyDescent="0.25">
      <c r="B6" s="6" t="s">
        <v>110</v>
      </c>
      <c r="C6" s="6" t="s">
        <v>0</v>
      </c>
      <c r="D6" s="12" t="s">
        <v>207</v>
      </c>
      <c r="E6" s="12" t="s">
        <v>202</v>
      </c>
      <c r="F6" s="12" t="s">
        <v>208</v>
      </c>
      <c r="G6" s="12" t="s">
        <v>203</v>
      </c>
      <c r="H6" s="12" t="s">
        <v>206</v>
      </c>
      <c r="I6" s="13" t="s">
        <v>205</v>
      </c>
    </row>
    <row r="7" spans="2:57" ht="31.5" customHeight="1" x14ac:dyDescent="0.25">
      <c r="B7">
        <v>1</v>
      </c>
      <c r="C7" s="11" t="s">
        <v>209</v>
      </c>
      <c r="D7">
        <v>200</v>
      </c>
      <c r="E7">
        <v>435.86599999999999</v>
      </c>
      <c r="F7">
        <v>322</v>
      </c>
      <c r="G7">
        <v>0.35701899999999998</v>
      </c>
      <c r="H7">
        <v>0.28999999999999998</v>
      </c>
      <c r="I7">
        <v>7.8</v>
      </c>
      <c r="K7">
        <f>+D7^2</f>
        <v>40000</v>
      </c>
      <c r="L7">
        <f t="shared" ref="L7:P12" si="0">+E7^2</f>
        <v>189979.169956</v>
      </c>
      <c r="M7">
        <f t="shared" si="0"/>
        <v>103684</v>
      </c>
      <c r="N7">
        <f t="shared" si="0"/>
        <v>0.12746256636099998</v>
      </c>
      <c r="O7">
        <f t="shared" si="0"/>
        <v>8.4099999999999994E-2</v>
      </c>
      <c r="P7">
        <f t="shared" si="0"/>
        <v>60.839999999999996</v>
      </c>
      <c r="R7">
        <f t="shared" ref="R7:R12" si="1">+D7/SQRT(SUM(($K$7:$K$12)))</f>
        <v>0.43842363202141443</v>
      </c>
      <c r="S7">
        <f>+E7/SQRT(SUM(($L$7:$L$12)))</f>
        <v>0.41567382504378547</v>
      </c>
      <c r="T7">
        <f>+F7/SQRT(SUM(($M$7:$M$12)))</f>
        <v>0.33550605220198765</v>
      </c>
      <c r="U7">
        <f>+G7/SQRT(SUM(($N$7:$N$12)))</f>
        <v>0.30956640750746145</v>
      </c>
      <c r="V7">
        <f t="shared" ref="V7:V12" si="2">+H7/SQRT(SUM(($O$7:$O$12)))</f>
        <v>0.44198895829723878</v>
      </c>
      <c r="W7">
        <f>+I7/SQRT(SUM(($P$7:$P$12)))</f>
        <v>0.43139284558252966</v>
      </c>
      <c r="Y7">
        <v>0.29099999999999998</v>
      </c>
      <c r="Z7">
        <v>7.9000000000000001E-2</v>
      </c>
      <c r="AA7">
        <v>0.20599999999999999</v>
      </c>
      <c r="AB7">
        <v>0.188</v>
      </c>
      <c r="AC7">
        <v>9.8000000000000004E-2</v>
      </c>
      <c r="AD7">
        <v>0.13900000000000001</v>
      </c>
      <c r="AF7">
        <f t="shared" ref="AF7:AK12" si="3">+R7*Y7</f>
        <v>0.1275812769182316</v>
      </c>
      <c r="AG7" s="14">
        <f t="shared" si="3"/>
        <v>3.2838232178459055E-2</v>
      </c>
      <c r="AH7">
        <f t="shared" si="3"/>
        <v>6.9114246753609457E-2</v>
      </c>
      <c r="AI7">
        <f t="shared" si="3"/>
        <v>5.819848461140275E-2</v>
      </c>
      <c r="AJ7">
        <f t="shared" si="3"/>
        <v>4.33149179131294E-2</v>
      </c>
      <c r="AK7">
        <f t="shared" si="3"/>
        <v>5.9963605535971631E-2</v>
      </c>
      <c r="AM7">
        <f>+MAX(AF7:AF12)</f>
        <v>0.1275812769182316</v>
      </c>
      <c r="AN7">
        <f>+MAX(AG7:AG12)</f>
        <v>4.5204120778118577E-2</v>
      </c>
      <c r="AO7">
        <f t="shared" ref="AO7:AQ7" si="4">+MAX(AH7:AH12)</f>
        <v>0.14488234956113782</v>
      </c>
      <c r="AP7">
        <f t="shared" si="4"/>
        <v>0.13856207626075492</v>
      </c>
      <c r="AQ7">
        <f t="shared" si="4"/>
        <v>4.33149179131294E-2</v>
      </c>
      <c r="AR7">
        <f>+MIN(AK7:AK12)</f>
        <v>3.4133129305091547E-2</v>
      </c>
      <c r="AT7">
        <f>+SQRT(((AF7-AM7)^2)+(AG7-AN7)^2)+((AH7-AO7)^2)+((AI7-AP7)^2)+((AJ7-AQ7)^2)+((AK7-AR7)^2)</f>
        <v>2.5232214367809595E-2</v>
      </c>
      <c r="AV7">
        <f>+MIN(AF7:AF12)</f>
        <v>5.7411574613204223E-2</v>
      </c>
      <c r="AW7">
        <f t="shared" ref="AW7:AZ7" si="5">+MIN(AG7:AG12)</f>
        <v>3.7670100648432145E-3</v>
      </c>
      <c r="AX7">
        <f t="shared" si="5"/>
        <v>1.287843107210114E-2</v>
      </c>
      <c r="AY7">
        <f t="shared" si="5"/>
        <v>3.7494456724904688E-3</v>
      </c>
      <c r="AZ7">
        <f t="shared" si="5"/>
        <v>1.4936178590734279E-2</v>
      </c>
      <c r="BA7">
        <f>+MAX(AK7:AK12)</f>
        <v>6.0517115740919065E-2</v>
      </c>
      <c r="BC7">
        <f>+SQRT(((AF7-AV7)^2)+((AG7-AW7)^2)+((AH7-AX7)^2)+((AI7-AY7)^2)+((AJ7-AZ7)^2)+((AK7-BA7)^2))</f>
        <v>0.11270202794345162</v>
      </c>
      <c r="BD7">
        <f>+BC7/(AT7+BC7)</f>
        <v>0.81707070017558936</v>
      </c>
      <c r="BE7">
        <v>3</v>
      </c>
    </row>
    <row r="8" spans="2:57" ht="45" x14ac:dyDescent="0.25">
      <c r="B8">
        <v>2</v>
      </c>
      <c r="C8" s="11" t="s">
        <v>197</v>
      </c>
      <c r="D8">
        <v>200</v>
      </c>
      <c r="E8">
        <v>275</v>
      </c>
      <c r="F8">
        <v>270</v>
      </c>
      <c r="G8">
        <v>0.348001</v>
      </c>
      <c r="H8">
        <v>0.28999999999999998</v>
      </c>
      <c r="I8">
        <v>7.8</v>
      </c>
      <c r="K8">
        <f t="shared" ref="K8:K12" si="6">+D8^2</f>
        <v>40000</v>
      </c>
      <c r="L8">
        <f t="shared" si="0"/>
        <v>75625</v>
      </c>
      <c r="M8">
        <f t="shared" si="0"/>
        <v>72900</v>
      </c>
      <c r="N8">
        <f t="shared" si="0"/>
        <v>0.121104696001</v>
      </c>
      <c r="O8">
        <f t="shared" si="0"/>
        <v>8.4099999999999994E-2</v>
      </c>
      <c r="P8">
        <f t="shared" si="0"/>
        <v>60.839999999999996</v>
      </c>
      <c r="R8">
        <f t="shared" si="1"/>
        <v>0.43842363202141443</v>
      </c>
      <c r="S8">
        <f t="shared" ref="S8:S12" si="7">+E8/SQRT(SUM(($L$7:$L$12)))</f>
        <v>0.26226019438781872</v>
      </c>
      <c r="T8">
        <f t="shared" ref="T8:T12" si="8">+F8/SQRT(SUM(($M$7:$M$12)))</f>
        <v>0.28132495060415114</v>
      </c>
      <c r="U8">
        <f t="shared" ref="U8:U12" si="9">+G8/SQRT(SUM(($N$7:$N$12)))</f>
        <v>0.30174702012779181</v>
      </c>
      <c r="V8">
        <f t="shared" si="2"/>
        <v>0.44198895829723878</v>
      </c>
      <c r="W8">
        <f t="shared" ref="W8:W12" si="10">+I8/SQRT(SUM(($P$7:$P$12)))</f>
        <v>0.43139284558252966</v>
      </c>
      <c r="Y8">
        <v>0.29099999999999998</v>
      </c>
      <c r="Z8">
        <v>7.9000000000000001E-2</v>
      </c>
      <c r="AA8">
        <v>0.20599999999999999</v>
      </c>
      <c r="AB8">
        <v>0.188</v>
      </c>
      <c r="AC8">
        <v>9.8000000000000004E-2</v>
      </c>
      <c r="AD8">
        <v>0.13900000000000001</v>
      </c>
      <c r="AF8">
        <f t="shared" si="3"/>
        <v>0.1275812769182316</v>
      </c>
      <c r="AG8">
        <f t="shared" si="3"/>
        <v>2.0718555356637681E-2</v>
      </c>
      <c r="AH8">
        <f t="shared" si="3"/>
        <v>5.7952939824455131E-2</v>
      </c>
      <c r="AI8">
        <f t="shared" si="3"/>
        <v>5.6728439784024857E-2</v>
      </c>
      <c r="AJ8">
        <f t="shared" si="3"/>
        <v>4.33149179131294E-2</v>
      </c>
      <c r="AK8">
        <f t="shared" si="3"/>
        <v>5.9963605535971631E-2</v>
      </c>
      <c r="AM8">
        <v>0.1275812769182316</v>
      </c>
      <c r="AN8">
        <v>4.5204120778118577E-2</v>
      </c>
      <c r="AO8">
        <v>0.14488234956113782</v>
      </c>
      <c r="AP8">
        <v>0.13856207626075492</v>
      </c>
      <c r="AQ8">
        <v>4.33149179131294E-2</v>
      </c>
      <c r="AR8">
        <v>3.4133129305091547E-2</v>
      </c>
      <c r="AT8">
        <f t="shared" ref="AT8:AT12" si="11">+SQRT(((AF8-AM8)^2)+(AG8-AN8)^2)+((AH8-AO8)^2)+((AI8-AP8)^2)+((AJ8-AQ8)^2)+((AK8-AR8)^2)</f>
        <v>3.9406245259968622E-2</v>
      </c>
      <c r="AV8">
        <v>5.7411574613204223E-2</v>
      </c>
      <c r="AW8">
        <v>3.7670100648432145E-3</v>
      </c>
      <c r="AX8">
        <v>1.287843107210114E-2</v>
      </c>
      <c r="AY8">
        <v>3.7494456724904688E-3</v>
      </c>
      <c r="AZ8">
        <v>1.4936178590734279E-2</v>
      </c>
      <c r="BA8">
        <v>6.0517115740919065E-2</v>
      </c>
      <c r="BC8">
        <f t="shared" ref="BC8:BC12" si="12">+SQRT(((AF8-AV8)^2)+((AG8-AW8)^2)+((AH8-AX8)^2)+((AI8-AY8)^2)+((AJ8-AZ8)^2)+((AK8-BA8)^2))</f>
        <v>0.1041887056487765</v>
      </c>
      <c r="BD8">
        <f t="shared" ref="BD8:BD12" si="13">+BC8/(AT8+BC8)</f>
        <v>0.72557360122633152</v>
      </c>
      <c r="BE8">
        <v>2</v>
      </c>
    </row>
    <row r="9" spans="2:57" ht="45" x14ac:dyDescent="0.25">
      <c r="B9">
        <v>3</v>
      </c>
      <c r="C9" s="11" t="s">
        <v>198</v>
      </c>
      <c r="D9">
        <v>90</v>
      </c>
      <c r="E9">
        <v>50</v>
      </c>
      <c r="F9">
        <v>60</v>
      </c>
      <c r="G9">
        <v>2.3001000000000001E-2</v>
      </c>
      <c r="H9">
        <v>0.1</v>
      </c>
      <c r="I9">
        <v>4.4400000000000004</v>
      </c>
      <c r="K9">
        <f t="shared" si="6"/>
        <v>8100</v>
      </c>
      <c r="L9">
        <f t="shared" si="0"/>
        <v>2500</v>
      </c>
      <c r="M9">
        <f t="shared" si="0"/>
        <v>3600</v>
      </c>
      <c r="N9">
        <f t="shared" si="0"/>
        <v>5.2904600100000003E-4</v>
      </c>
      <c r="O9">
        <f t="shared" si="0"/>
        <v>1.0000000000000002E-2</v>
      </c>
      <c r="P9">
        <f t="shared" si="0"/>
        <v>19.713600000000003</v>
      </c>
      <c r="R9">
        <f t="shared" si="1"/>
        <v>0.19729063440963651</v>
      </c>
      <c r="S9">
        <f t="shared" si="7"/>
        <v>4.7683671706876131E-2</v>
      </c>
      <c r="T9">
        <f t="shared" si="8"/>
        <v>6.2516655689811365E-2</v>
      </c>
      <c r="U9">
        <f t="shared" si="9"/>
        <v>1.9943859960055686E-2</v>
      </c>
      <c r="V9">
        <f t="shared" si="2"/>
        <v>0.15240998561973754</v>
      </c>
      <c r="W9">
        <f t="shared" si="10"/>
        <v>0.24556208133159385</v>
      </c>
      <c r="Y9">
        <v>0.29099999999999998</v>
      </c>
      <c r="Z9">
        <v>7.9000000000000001E-2</v>
      </c>
      <c r="AA9">
        <v>0.20599999999999999</v>
      </c>
      <c r="AB9">
        <v>0.188</v>
      </c>
      <c r="AC9">
        <v>9.8000000000000004E-2</v>
      </c>
      <c r="AD9">
        <v>0.13900000000000001</v>
      </c>
      <c r="AF9">
        <f t="shared" si="3"/>
        <v>5.7411574613204223E-2</v>
      </c>
      <c r="AG9">
        <f t="shared" si="3"/>
        <v>3.7670100648432145E-3</v>
      </c>
      <c r="AH9">
        <f t="shared" si="3"/>
        <v>1.287843107210114E-2</v>
      </c>
      <c r="AI9">
        <f t="shared" si="3"/>
        <v>3.7494456724904688E-3</v>
      </c>
      <c r="AJ9">
        <f t="shared" si="3"/>
        <v>1.4936178590734279E-2</v>
      </c>
      <c r="AK9">
        <f t="shared" si="3"/>
        <v>3.4133129305091547E-2</v>
      </c>
      <c r="AM9">
        <v>0.1275812769182316</v>
      </c>
      <c r="AN9">
        <v>4.5204120778118577E-2</v>
      </c>
      <c r="AO9">
        <v>0.14488234956113782</v>
      </c>
      <c r="AP9">
        <v>0.13856207626075492</v>
      </c>
      <c r="AQ9">
        <v>4.33149179131294E-2</v>
      </c>
      <c r="AR9">
        <v>3.4133129305091547E-2</v>
      </c>
      <c r="AT9">
        <f t="shared" si="11"/>
        <v>0.1178960669964767</v>
      </c>
      <c r="AV9">
        <v>5.7411574613204223E-2</v>
      </c>
      <c r="AW9">
        <v>3.7670100648432145E-3</v>
      </c>
      <c r="AX9">
        <v>1.287843107210114E-2</v>
      </c>
      <c r="AY9">
        <v>3.7494456724904688E-3</v>
      </c>
      <c r="AZ9">
        <v>1.4936178590734279E-2</v>
      </c>
      <c r="BA9">
        <v>6.0517115740919065E-2</v>
      </c>
      <c r="BC9">
        <f t="shared" si="12"/>
        <v>2.6383986435827518E-2</v>
      </c>
      <c r="BD9">
        <f t="shared" si="13"/>
        <v>0.18286648644891726</v>
      </c>
      <c r="BE9">
        <v>1</v>
      </c>
    </row>
    <row r="10" spans="2:57" x14ac:dyDescent="0.25">
      <c r="B10">
        <v>4</v>
      </c>
      <c r="C10" s="11" t="s">
        <v>199</v>
      </c>
      <c r="D10">
        <v>200</v>
      </c>
      <c r="E10">
        <v>600</v>
      </c>
      <c r="F10">
        <v>675</v>
      </c>
      <c r="G10">
        <v>0.85001000000000004</v>
      </c>
      <c r="H10">
        <v>0.28999999999999998</v>
      </c>
      <c r="I10">
        <v>7.85</v>
      </c>
      <c r="K10">
        <f t="shared" si="6"/>
        <v>40000</v>
      </c>
      <c r="L10">
        <f t="shared" si="0"/>
        <v>360000</v>
      </c>
      <c r="M10">
        <f t="shared" si="0"/>
        <v>455625</v>
      </c>
      <c r="N10">
        <f t="shared" si="0"/>
        <v>0.72251700010000008</v>
      </c>
      <c r="O10">
        <f t="shared" si="0"/>
        <v>8.4099999999999994E-2</v>
      </c>
      <c r="P10">
        <f t="shared" si="0"/>
        <v>61.622499999999995</v>
      </c>
      <c r="R10">
        <f t="shared" si="1"/>
        <v>0.43842363202141443</v>
      </c>
      <c r="S10">
        <f t="shared" si="7"/>
        <v>0.5722040604825136</v>
      </c>
      <c r="T10">
        <f t="shared" si="8"/>
        <v>0.70331237651037781</v>
      </c>
      <c r="U10">
        <f t="shared" si="9"/>
        <v>0.73703232053593037</v>
      </c>
      <c r="V10">
        <f t="shared" si="2"/>
        <v>0.44198895829723878</v>
      </c>
      <c r="W10">
        <f t="shared" si="10"/>
        <v>0.43415818433626385</v>
      </c>
      <c r="Y10">
        <v>0.29099999999999998</v>
      </c>
      <c r="Z10">
        <v>7.9000000000000001E-2</v>
      </c>
      <c r="AA10">
        <v>0.20599999999999999</v>
      </c>
      <c r="AB10">
        <v>0.188</v>
      </c>
      <c r="AC10">
        <v>9.8000000000000004E-2</v>
      </c>
      <c r="AD10">
        <v>0.13900000000000001</v>
      </c>
      <c r="AF10">
        <f t="shared" si="3"/>
        <v>0.1275812769182316</v>
      </c>
      <c r="AG10">
        <f t="shared" si="3"/>
        <v>4.5204120778118577E-2</v>
      </c>
      <c r="AH10">
        <f t="shared" si="3"/>
        <v>0.14488234956113782</v>
      </c>
      <c r="AI10">
        <f t="shared" si="3"/>
        <v>0.13856207626075492</v>
      </c>
      <c r="AJ10">
        <f t="shared" si="3"/>
        <v>4.33149179131294E-2</v>
      </c>
      <c r="AK10">
        <f t="shared" si="3"/>
        <v>6.0347987622740684E-2</v>
      </c>
      <c r="AM10">
        <v>0.1275812769182316</v>
      </c>
      <c r="AN10">
        <v>4.5204120778118577E-2</v>
      </c>
      <c r="AO10">
        <v>0.14488234956113782</v>
      </c>
      <c r="AP10">
        <v>0.13856207626075492</v>
      </c>
      <c r="AQ10">
        <v>4.33149179131294E-2</v>
      </c>
      <c r="AR10">
        <v>3.4133129305091547E-2</v>
      </c>
      <c r="AT10">
        <f t="shared" si="11"/>
        <v>6.8721879661441817E-4</v>
      </c>
      <c r="AV10">
        <v>5.7411574613204223E-2</v>
      </c>
      <c r="AW10">
        <v>3.7670100648432145E-3</v>
      </c>
      <c r="AX10">
        <v>1.287843107210114E-2</v>
      </c>
      <c r="AY10">
        <v>3.7494456724904688E-3</v>
      </c>
      <c r="AZ10">
        <v>1.4936178590734279E-2</v>
      </c>
      <c r="BA10">
        <v>6.0517115740919065E-2</v>
      </c>
      <c r="BC10">
        <f t="shared" si="12"/>
        <v>0.20747453477060099</v>
      </c>
      <c r="BD10">
        <f t="shared" si="13"/>
        <v>0.99669863082512644</v>
      </c>
      <c r="BE10">
        <v>5</v>
      </c>
    </row>
    <row r="11" spans="2:57" x14ac:dyDescent="0.25">
      <c r="B11">
        <v>5</v>
      </c>
      <c r="C11" s="11" t="s">
        <v>200</v>
      </c>
      <c r="D11">
        <v>200</v>
      </c>
      <c r="E11">
        <v>550</v>
      </c>
      <c r="F11">
        <v>420</v>
      </c>
      <c r="G11">
        <v>0.35650700000000002</v>
      </c>
      <c r="H11">
        <v>0.28999999999999998</v>
      </c>
      <c r="I11">
        <v>7.87</v>
      </c>
      <c r="K11">
        <f t="shared" si="6"/>
        <v>40000</v>
      </c>
      <c r="L11">
        <f t="shared" si="0"/>
        <v>302500</v>
      </c>
      <c r="M11">
        <f t="shared" si="0"/>
        <v>176400</v>
      </c>
      <c r="N11">
        <f t="shared" si="0"/>
        <v>0.12709724104900003</v>
      </c>
      <c r="O11">
        <f t="shared" si="0"/>
        <v>8.4099999999999994E-2</v>
      </c>
      <c r="P11">
        <f t="shared" si="0"/>
        <v>61.936900000000001</v>
      </c>
      <c r="R11">
        <f t="shared" si="1"/>
        <v>0.43842363202141443</v>
      </c>
      <c r="S11">
        <f t="shared" si="7"/>
        <v>0.52452038877563745</v>
      </c>
      <c r="T11">
        <f t="shared" si="8"/>
        <v>0.43761658982867957</v>
      </c>
      <c r="U11">
        <f t="shared" si="9"/>
        <v>0.30912245914436648</v>
      </c>
      <c r="V11">
        <f t="shared" si="2"/>
        <v>0.44198895829723878</v>
      </c>
      <c r="W11">
        <f t="shared" si="10"/>
        <v>0.43526431983775754</v>
      </c>
      <c r="Y11">
        <v>0.29099999999999998</v>
      </c>
      <c r="Z11">
        <v>7.9000000000000001E-2</v>
      </c>
      <c r="AA11">
        <v>0.20599999999999999</v>
      </c>
      <c r="AB11">
        <v>0.188</v>
      </c>
      <c r="AC11">
        <v>9.8000000000000004E-2</v>
      </c>
      <c r="AD11">
        <v>0.13900000000000001</v>
      </c>
      <c r="AF11">
        <f t="shared" si="3"/>
        <v>0.1275812769182316</v>
      </c>
      <c r="AG11">
        <f t="shared" si="3"/>
        <v>4.1437110713275362E-2</v>
      </c>
      <c r="AH11">
        <f t="shared" si="3"/>
        <v>9.0149017504707982E-2</v>
      </c>
      <c r="AI11">
        <f t="shared" si="3"/>
        <v>5.8115022319140897E-2</v>
      </c>
      <c r="AJ11">
        <f t="shared" si="3"/>
        <v>4.33149179131294E-2</v>
      </c>
      <c r="AK11">
        <f t="shared" si="3"/>
        <v>6.0501740457448307E-2</v>
      </c>
      <c r="AM11">
        <v>0.1275812769182316</v>
      </c>
      <c r="AN11">
        <v>4.5204120778118577E-2</v>
      </c>
      <c r="AO11">
        <v>0.14488234956113782</v>
      </c>
      <c r="AP11">
        <v>0.13856207626075492</v>
      </c>
      <c r="AQ11">
        <v>4.33149179131294E-2</v>
      </c>
      <c r="AR11">
        <v>3.4133129305091547E-2</v>
      </c>
      <c r="AT11">
        <f t="shared" si="11"/>
        <v>1.3929779844831775E-2</v>
      </c>
      <c r="AV11">
        <v>5.7411574613204223E-2</v>
      </c>
      <c r="AW11">
        <v>3.7670100648432145E-3</v>
      </c>
      <c r="AX11">
        <v>1.287843107210114E-2</v>
      </c>
      <c r="AY11">
        <v>3.7494456724904688E-3</v>
      </c>
      <c r="AZ11">
        <v>1.4936178590734279E-2</v>
      </c>
      <c r="BA11">
        <v>6.0517115740919065E-2</v>
      </c>
      <c r="BC11">
        <f t="shared" si="12"/>
        <v>0.12678539402521394</v>
      </c>
      <c r="BD11">
        <f t="shared" si="13"/>
        <v>0.90100726551568422</v>
      </c>
      <c r="BE11">
        <v>4</v>
      </c>
    </row>
    <row r="12" spans="2:57" ht="30" x14ac:dyDescent="0.25">
      <c r="B12">
        <v>6</v>
      </c>
      <c r="C12" s="11" t="s">
        <v>201</v>
      </c>
      <c r="D12">
        <v>200</v>
      </c>
      <c r="E12">
        <v>410.98599999999999</v>
      </c>
      <c r="F12">
        <v>330</v>
      </c>
      <c r="G12">
        <v>0.48099999999999998</v>
      </c>
      <c r="H12">
        <v>0.28999999999999998</v>
      </c>
      <c r="I12">
        <v>7.8719999999999999</v>
      </c>
      <c r="K12">
        <f t="shared" si="6"/>
        <v>40000</v>
      </c>
      <c r="L12">
        <f t="shared" si="0"/>
        <v>168909.49219599998</v>
      </c>
      <c r="M12">
        <f t="shared" si="0"/>
        <v>108900</v>
      </c>
      <c r="N12">
        <f t="shared" si="0"/>
        <v>0.23136099999999998</v>
      </c>
      <c r="O12">
        <f t="shared" si="0"/>
        <v>8.4099999999999994E-2</v>
      </c>
      <c r="P12">
        <f t="shared" si="0"/>
        <v>61.968384</v>
      </c>
      <c r="R12">
        <f t="shared" si="1"/>
        <v>0.43842363202141443</v>
      </c>
      <c r="S12">
        <f t="shared" si="7"/>
        <v>0.39194643000244389</v>
      </c>
      <c r="T12">
        <f t="shared" si="8"/>
        <v>0.34384160629396249</v>
      </c>
      <c r="U12">
        <f t="shared" si="9"/>
        <v>0.4170686770482494</v>
      </c>
      <c r="V12">
        <f t="shared" si="2"/>
        <v>0.44198895829723878</v>
      </c>
      <c r="W12">
        <f t="shared" si="10"/>
        <v>0.43537493338790689</v>
      </c>
      <c r="Y12">
        <v>0.29099999999999998</v>
      </c>
      <c r="Z12">
        <v>7.9000000000000001E-2</v>
      </c>
      <c r="AA12">
        <v>0.20599999999999999</v>
      </c>
      <c r="AB12">
        <v>0.188</v>
      </c>
      <c r="AC12">
        <v>9.8000000000000004E-2</v>
      </c>
      <c r="AD12">
        <v>0.13900000000000001</v>
      </c>
      <c r="AF12">
        <f t="shared" si="3"/>
        <v>0.1275812769182316</v>
      </c>
      <c r="AG12">
        <f t="shared" si="3"/>
        <v>3.0963767970193068E-2</v>
      </c>
      <c r="AH12">
        <f t="shared" si="3"/>
        <v>7.0831370896556264E-2</v>
      </c>
      <c r="AI12">
        <f t="shared" si="3"/>
        <v>7.8408911285070881E-2</v>
      </c>
      <c r="AJ12">
        <f t="shared" si="3"/>
        <v>4.33149179131294E-2</v>
      </c>
      <c r="AK12">
        <f t="shared" si="3"/>
        <v>6.0517115740919065E-2</v>
      </c>
      <c r="AM12">
        <v>0.1275812769182316</v>
      </c>
      <c r="AN12">
        <v>4.5204120778118577E-2</v>
      </c>
      <c r="AO12">
        <v>0.14488234956113782</v>
      </c>
      <c r="AP12">
        <v>0.13856207626075492</v>
      </c>
      <c r="AQ12">
        <v>4.33149179131294E-2</v>
      </c>
      <c r="AR12">
        <v>3.4133129305091547E-2</v>
      </c>
      <c r="AT12">
        <f t="shared" si="11"/>
        <v>2.4038418245945613E-2</v>
      </c>
      <c r="AV12">
        <v>5.7411574613204223E-2</v>
      </c>
      <c r="AW12">
        <v>3.7670100648432145E-3</v>
      </c>
      <c r="AX12">
        <v>1.287843107210114E-2</v>
      </c>
      <c r="AY12">
        <v>3.7494456724904688E-3</v>
      </c>
      <c r="AZ12">
        <v>1.4936178590734279E-2</v>
      </c>
      <c r="BA12">
        <v>6.0517115740919065E-2</v>
      </c>
      <c r="BC12">
        <f t="shared" si="12"/>
        <v>0.12410230718048645</v>
      </c>
      <c r="BD12">
        <f t="shared" si="13"/>
        <v>0.83773254669335828</v>
      </c>
      <c r="BE12">
        <v>6</v>
      </c>
    </row>
    <row r="14" spans="2:57" x14ac:dyDescent="0.25">
      <c r="D14">
        <v>1</v>
      </c>
      <c r="E14">
        <v>1</v>
      </c>
      <c r="F14">
        <v>1</v>
      </c>
      <c r="G14">
        <v>1</v>
      </c>
      <c r="H14">
        <v>1</v>
      </c>
      <c r="I14">
        <v>0</v>
      </c>
    </row>
    <row r="17" spans="49:53" x14ac:dyDescent="0.25">
      <c r="AW17" t="s">
        <v>22</v>
      </c>
      <c r="AX17" t="s">
        <v>219</v>
      </c>
      <c r="AY17" t="s">
        <v>220</v>
      </c>
      <c r="AZ17" t="s">
        <v>221</v>
      </c>
      <c r="BA17" t="s">
        <v>222</v>
      </c>
    </row>
    <row r="18" spans="49:53" ht="45" x14ac:dyDescent="0.25">
      <c r="AW18" s="11" t="s">
        <v>227</v>
      </c>
      <c r="AX18">
        <v>2.5232214367809595E-2</v>
      </c>
      <c r="AY18">
        <v>0.11270202794345162</v>
      </c>
      <c r="AZ18">
        <v>0.81707070017558936</v>
      </c>
      <c r="BA18">
        <v>3</v>
      </c>
    </row>
    <row r="19" spans="49:53" x14ac:dyDescent="0.25">
      <c r="AW19" s="11" t="s">
        <v>226</v>
      </c>
      <c r="AX19">
        <v>3.9406245259968622E-2</v>
      </c>
      <c r="AY19">
        <v>0.1041887056487765</v>
      </c>
      <c r="AZ19">
        <v>0.72557360122633152</v>
      </c>
      <c r="BA19">
        <v>2</v>
      </c>
    </row>
    <row r="20" spans="49:53" ht="45" x14ac:dyDescent="0.25">
      <c r="AW20" s="11" t="s">
        <v>198</v>
      </c>
      <c r="AX20">
        <v>0.1178960669964767</v>
      </c>
      <c r="AY20">
        <v>2.6383986435827518E-2</v>
      </c>
      <c r="AZ20">
        <v>0.18286648644891726</v>
      </c>
      <c r="BA20">
        <v>1</v>
      </c>
    </row>
    <row r="21" spans="49:53" x14ac:dyDescent="0.25">
      <c r="AW21" s="11" t="s">
        <v>199</v>
      </c>
      <c r="AX21">
        <v>6.8721879661441817E-4</v>
      </c>
      <c r="AY21">
        <v>0.20747453477060099</v>
      </c>
      <c r="AZ21">
        <v>0.99669863082512644</v>
      </c>
      <c r="BA21">
        <v>5</v>
      </c>
    </row>
    <row r="22" spans="49:53" x14ac:dyDescent="0.25">
      <c r="AW22" s="11" t="s">
        <v>200</v>
      </c>
      <c r="AX22">
        <v>1.3929779844831775E-2</v>
      </c>
      <c r="AY22">
        <v>0.12678539402521394</v>
      </c>
      <c r="AZ22">
        <v>0.90100726551568422</v>
      </c>
      <c r="BA22">
        <v>4</v>
      </c>
    </row>
    <row r="23" spans="49:53" ht="30" x14ac:dyDescent="0.25">
      <c r="AW23" s="11" t="s">
        <v>201</v>
      </c>
      <c r="AX23">
        <v>2.4038418245945613E-2</v>
      </c>
      <c r="AY23">
        <v>0.12410230718048645</v>
      </c>
      <c r="AZ23">
        <v>0.83773254669335828</v>
      </c>
      <c r="BA23">
        <v>6</v>
      </c>
    </row>
  </sheetData>
  <mergeCells count="7">
    <mergeCell ref="AV4:BA4"/>
    <mergeCell ref="K4:P4"/>
    <mergeCell ref="B4:I4"/>
    <mergeCell ref="R4:W4"/>
    <mergeCell ref="Y4:AD4"/>
    <mergeCell ref="AF4:AK4"/>
    <mergeCell ref="AM4:A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COPRAS</vt:lpstr>
      <vt:lpstr>PROMETHEE</vt:lpstr>
      <vt:lpstr>Hoja3</vt:lpstr>
      <vt:lpstr>Entropy</vt:lpstr>
      <vt:lpstr>TOPSIS tesis</vt:lpstr>
      <vt:lpstr>TOPSIS</vt:lpstr>
      <vt:lpstr>VIKOR final</vt:lpstr>
      <vt:lpstr>VIKOR</vt:lpstr>
      <vt:lpstr>topsy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Paul Chamba Monar</cp:lastModifiedBy>
  <dcterms:created xsi:type="dcterms:W3CDTF">2014-03-18T17:43:38Z</dcterms:created>
  <dcterms:modified xsi:type="dcterms:W3CDTF">2018-02-22T11:49:00Z</dcterms:modified>
</cp:coreProperties>
</file>